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C538EA67-0AC7-4A76-AA01-998000DEB442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25" firstSheet="11" activeTab="2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E9" i="9"/>
  <c r="F9" i="9"/>
  <c r="G9" i="8" l="1"/>
  <c r="F9" i="8"/>
  <c r="E9" i="8"/>
  <c r="D9" i="8"/>
  <c r="C9" i="8"/>
  <c r="B9" i="8"/>
  <c r="G19" i="8"/>
  <c r="F19" i="8"/>
  <c r="E19" i="8"/>
  <c r="D19" i="8"/>
  <c r="C19" i="8"/>
  <c r="B19" i="8"/>
  <c r="F9" i="7" l="1"/>
  <c r="E9" i="7"/>
  <c r="D9" i="7"/>
  <c r="C9" i="7"/>
  <c r="B9" i="7"/>
  <c r="G9" i="7"/>
  <c r="G10" i="7"/>
  <c r="B9" i="6" l="1"/>
  <c r="B10" i="6"/>
  <c r="G19" i="6"/>
  <c r="G18" i="6"/>
  <c r="F18" i="6"/>
  <c r="E18" i="6"/>
  <c r="D18" i="6"/>
  <c r="C18" i="6"/>
  <c r="B18" i="6"/>
  <c r="G11" i="6" l="1"/>
  <c r="F10" i="6"/>
  <c r="E10" i="6"/>
  <c r="D10" i="6"/>
  <c r="G13" i="5"/>
  <c r="C59" i="4" l="1"/>
  <c r="D59" i="4"/>
  <c r="D57" i="4"/>
  <c r="C57" i="4"/>
  <c r="C53" i="4"/>
  <c r="D53" i="4"/>
  <c r="D48" i="4"/>
  <c r="C48" i="4"/>
  <c r="G9" i="9" l="1"/>
  <c r="B41" i="5" l="1"/>
  <c r="B37" i="5"/>
  <c r="C37" i="5"/>
  <c r="D37" i="5"/>
  <c r="G37" i="5"/>
  <c r="G34" i="5"/>
  <c r="G39" i="5"/>
  <c r="G31" i="5"/>
  <c r="G38" i="5"/>
  <c r="C10" i="6" l="1"/>
  <c r="F20" i="2" l="1"/>
  <c r="E9" i="1" l="1"/>
  <c r="E57" i="1" l="1"/>
  <c r="E47" i="1"/>
  <c r="C17" i="1"/>
  <c r="B17" i="1"/>
  <c r="B9" i="1"/>
  <c r="B6" i="2" l="1"/>
  <c r="G7" i="13" l="1"/>
  <c r="F7" i="13"/>
  <c r="E7" i="13"/>
  <c r="D7" i="13"/>
  <c r="C7" i="13"/>
  <c r="Q2" i="31" s="1"/>
  <c r="D7" i="12"/>
  <c r="R2" i="30" s="1"/>
  <c r="B5" i="12"/>
  <c r="T2" i="25"/>
  <c r="G14" i="6"/>
  <c r="U7" i="24" s="1"/>
  <c r="G13" i="6"/>
  <c r="G12" i="6"/>
  <c r="U5" i="24" s="1"/>
  <c r="G15" i="6"/>
  <c r="U8" i="24" s="1"/>
  <c r="G16" i="6"/>
  <c r="U9" i="24" s="1"/>
  <c r="G17" i="6"/>
  <c r="U10" i="24" s="1"/>
  <c r="F41" i="5"/>
  <c r="T34" i="20" s="1"/>
  <c r="E41" i="5"/>
  <c r="S34" i="20" s="1"/>
  <c r="D41" i="5"/>
  <c r="R34" i="20" s="1"/>
  <c r="C41" i="5"/>
  <c r="Q34" i="20" s="1"/>
  <c r="B53" i="4"/>
  <c r="Q30" i="18"/>
  <c r="B48" i="4"/>
  <c r="B21" i="4"/>
  <c r="B8" i="4"/>
  <c r="C8" i="4"/>
  <c r="Q2" i="18" s="1"/>
  <c r="C12" i="9"/>
  <c r="B12" i="9"/>
  <c r="B16" i="9"/>
  <c r="B9" i="9"/>
  <c r="B37" i="8"/>
  <c r="B75" i="5"/>
  <c r="B67" i="5"/>
  <c r="B65" i="5"/>
  <c r="B59" i="5"/>
  <c r="E23" i="1"/>
  <c r="C9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28" i="6"/>
  <c r="B38" i="6"/>
  <c r="B48" i="6"/>
  <c r="P41" i="24" s="1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U47" i="24" s="1"/>
  <c r="G55" i="6"/>
  <c r="G56" i="6"/>
  <c r="G57" i="6"/>
  <c r="U50" i="24" s="1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U27" i="24" s="1"/>
  <c r="G35" i="6"/>
  <c r="U28" i="24" s="1"/>
  <c r="G36" i="6"/>
  <c r="G37" i="6"/>
  <c r="G29" i="6"/>
  <c r="G20" i="6"/>
  <c r="U13" i="24" s="1"/>
  <c r="G21" i="6"/>
  <c r="G22" i="6"/>
  <c r="U15" i="24" s="1"/>
  <c r="G23" i="6"/>
  <c r="G24" i="6"/>
  <c r="U17" i="24" s="1"/>
  <c r="G25" i="6"/>
  <c r="G26" i="6"/>
  <c r="G27" i="6"/>
  <c r="U12" i="24"/>
  <c r="B7" i="13"/>
  <c r="G9" i="5"/>
  <c r="G10" i="5"/>
  <c r="G11" i="5"/>
  <c r="G12" i="5"/>
  <c r="G14" i="5"/>
  <c r="G15" i="5"/>
  <c r="G41" i="5" s="1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2" i="5"/>
  <c r="G33" i="5"/>
  <c r="G28" i="5"/>
  <c r="G36" i="5"/>
  <c r="G35" i="5"/>
  <c r="F20" i="23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D29" i="13"/>
  <c r="R22" i="31" s="1"/>
  <c r="E29" i="13"/>
  <c r="S22" i="31" s="1"/>
  <c r="F29" i="13"/>
  <c r="T22" i="31" s="1"/>
  <c r="G29" i="13"/>
  <c r="U22" i="31" s="1"/>
  <c r="U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Q2" i="30" s="1"/>
  <c r="C31" i="12"/>
  <c r="Q23" i="30" s="1"/>
  <c r="E7" i="12"/>
  <c r="S2" i="30" s="1"/>
  <c r="F7" i="12"/>
  <c r="T2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2" i="9"/>
  <c r="D16" i="9"/>
  <c r="D9" i="9"/>
  <c r="R2" i="27"/>
  <c r="E12" i="9"/>
  <c r="E16" i="9"/>
  <c r="S2" i="27"/>
  <c r="F12" i="9"/>
  <c r="F16" i="9"/>
  <c r="T2" i="27"/>
  <c r="G12" i="9"/>
  <c r="G16" i="9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 s="1"/>
  <c r="P3" i="27"/>
  <c r="P4" i="27"/>
  <c r="P5" i="27"/>
  <c r="P6" i="27"/>
  <c r="P7" i="27"/>
  <c r="P8" i="27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 s="1"/>
  <c r="P2" i="27"/>
  <c r="A5" i="27"/>
  <c r="A4" i="27"/>
  <c r="A3" i="27"/>
  <c r="A2" i="27"/>
  <c r="C10" i="8"/>
  <c r="C27" i="8"/>
  <c r="C37" i="8"/>
  <c r="Q2" i="26"/>
  <c r="D10" i="8"/>
  <c r="D27" i="8"/>
  <c r="D37" i="8"/>
  <c r="R2" i="26"/>
  <c r="E10" i="8"/>
  <c r="E27" i="8"/>
  <c r="E37" i="8"/>
  <c r="S2" i="26"/>
  <c r="F10" i="8"/>
  <c r="T12" i="26"/>
  <c r="F27" i="8"/>
  <c r="F37" i="8"/>
  <c r="T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 s="1"/>
  <c r="B44" i="8"/>
  <c r="B53" i="8"/>
  <c r="B61" i="8"/>
  <c r="B71" i="8"/>
  <c r="B43" i="8"/>
  <c r="B10" i="8"/>
  <c r="B27" i="8"/>
  <c r="P2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G29" i="7" s="1"/>
  <c r="F19" i="7"/>
  <c r="F29" i="7" s="1"/>
  <c r="E19" i="7"/>
  <c r="D19" i="7"/>
  <c r="C19" i="7"/>
  <c r="B19" i="7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11" i="24"/>
  <c r="C28" i="6"/>
  <c r="Q21" i="24" s="1"/>
  <c r="C38" i="6"/>
  <c r="C48" i="6"/>
  <c r="Q41" i="24" s="1"/>
  <c r="C58" i="6"/>
  <c r="C71" i="6"/>
  <c r="C75" i="6"/>
  <c r="D28" i="6"/>
  <c r="D38" i="6"/>
  <c r="D48" i="6"/>
  <c r="R41" i="24" s="1"/>
  <c r="D58" i="6"/>
  <c r="D71" i="6"/>
  <c r="D75" i="6"/>
  <c r="E28" i="6"/>
  <c r="E38" i="6"/>
  <c r="E48" i="6"/>
  <c r="E58" i="6"/>
  <c r="E71" i="6"/>
  <c r="E75" i="6"/>
  <c r="F9" i="6"/>
  <c r="T2" i="24" s="1"/>
  <c r="F28" i="6"/>
  <c r="F38" i="6"/>
  <c r="F48" i="6"/>
  <c r="F58" i="6"/>
  <c r="F71" i="6"/>
  <c r="F75" i="6"/>
  <c r="G38" i="6"/>
  <c r="G58" i="6"/>
  <c r="G71" i="6"/>
  <c r="G75" i="6"/>
  <c r="B85" i="6"/>
  <c r="B93" i="6"/>
  <c r="B103" i="6"/>
  <c r="B113" i="6"/>
  <c r="B123" i="6"/>
  <c r="B133" i="6"/>
  <c r="B146" i="6"/>
  <c r="B150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P57" i="20"/>
  <c r="B45" i="5"/>
  <c r="B54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W4" i="17" s="1"/>
  <c r="I8" i="3"/>
  <c r="I20" i="3" s="1"/>
  <c r="W5" i="17" s="1"/>
  <c r="H14" i="3"/>
  <c r="V4" i="17" s="1"/>
  <c r="G14" i="3"/>
  <c r="E14" i="3"/>
  <c r="K8" i="3"/>
  <c r="Y3" i="17" s="1"/>
  <c r="J8" i="3"/>
  <c r="X3" i="17" s="1"/>
  <c r="H8" i="3"/>
  <c r="V3" i="17" s="1"/>
  <c r="G8" i="3"/>
  <c r="E8" i="3"/>
  <c r="S3" i="17" s="1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49" i="4"/>
  <c r="B37" i="4"/>
  <c r="B44" i="4"/>
  <c r="B29" i="4"/>
  <c r="B17" i="4"/>
  <c r="B13" i="4"/>
  <c r="B57" i="4"/>
  <c r="B59" i="4"/>
  <c r="B72" i="4"/>
  <c r="Q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7" i="1"/>
  <c r="E31" i="1"/>
  <c r="E38" i="1"/>
  <c r="E42" i="1"/>
  <c r="E59" i="1"/>
  <c r="E63" i="1"/>
  <c r="E68" i="1"/>
  <c r="E79" i="1" s="1"/>
  <c r="P119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25" i="1"/>
  <c r="C31" i="1"/>
  <c r="C38" i="1"/>
  <c r="C41" i="1"/>
  <c r="C47" i="1"/>
  <c r="Q42" i="15" s="1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D70" i="5"/>
  <c r="Y4" i="17"/>
  <c r="C70" i="4"/>
  <c r="D70" i="4"/>
  <c r="C68" i="4"/>
  <c r="D68" i="4"/>
  <c r="C64" i="4"/>
  <c r="D64" i="4"/>
  <c r="C63" i="4"/>
  <c r="D63" i="4"/>
  <c r="C55" i="4"/>
  <c r="D55" i="4"/>
  <c r="C49" i="4"/>
  <c r="D49" i="4"/>
  <c r="C29" i="4"/>
  <c r="D29" i="4"/>
  <c r="C40" i="4"/>
  <c r="D40" i="4"/>
  <c r="C37" i="4"/>
  <c r="D37" i="4"/>
  <c r="C17" i="4"/>
  <c r="C13" i="4"/>
  <c r="Q6" i="18" s="1"/>
  <c r="D13" i="4"/>
  <c r="U4" i="17"/>
  <c r="S4" i="17"/>
  <c r="T17" i="16"/>
  <c r="V15" i="16"/>
  <c r="Q14" i="16"/>
  <c r="R14" i="16"/>
  <c r="V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R22" i="18"/>
  <c r="R27" i="18"/>
  <c r="R32" i="18"/>
  <c r="R36" i="18"/>
  <c r="Q9" i="18"/>
  <c r="Q22" i="18"/>
  <c r="Q27" i="18"/>
  <c r="R31" i="18"/>
  <c r="Q32" i="18"/>
  <c r="Q36" i="18"/>
  <c r="R19" i="18"/>
  <c r="R15" i="18"/>
  <c r="Q31" i="18"/>
  <c r="D72" i="4"/>
  <c r="R33" i="18"/>
  <c r="R37" i="18"/>
  <c r="Q19" i="18"/>
  <c r="Q15" i="18"/>
  <c r="R30" i="18"/>
  <c r="Q26" i="18"/>
  <c r="Q33" i="18"/>
  <c r="Q37" i="18"/>
  <c r="G8" i="2"/>
  <c r="U8" i="16"/>
  <c r="D44" i="4"/>
  <c r="B8" i="2"/>
  <c r="E8" i="2"/>
  <c r="D8" i="2"/>
  <c r="D20" i="2"/>
  <c r="R13" i="16"/>
  <c r="C44" i="4"/>
  <c r="C72" i="4"/>
  <c r="P12" i="18"/>
  <c r="H8" i="2"/>
  <c r="H20" i="2"/>
  <c r="V13" i="16"/>
  <c r="F8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Q5" i="18"/>
  <c r="Q39" i="18"/>
  <c r="R5" i="18"/>
  <c r="R39" i="18"/>
  <c r="P13" i="18"/>
  <c r="P18" i="18"/>
  <c r="P14" i="18"/>
  <c r="F47" i="1"/>
  <c r="F59" i="1"/>
  <c r="Q104" i="15"/>
  <c r="F81" i="1"/>
  <c r="Q120" i="15"/>
  <c r="Q95" i="15"/>
  <c r="Q67" i="15"/>
  <c r="Q3" i="16"/>
  <c r="P2" i="25"/>
  <c r="U2" i="25"/>
  <c r="R3" i="25" l="1"/>
  <c r="D29" i="7"/>
  <c r="S3" i="25"/>
  <c r="E29" i="7"/>
  <c r="T14" i="16"/>
  <c r="J20" i="3"/>
  <c r="X5" i="17" s="1"/>
  <c r="E20" i="3"/>
  <c r="S5" i="17" s="1"/>
  <c r="P3" i="25"/>
  <c r="B29" i="7"/>
  <c r="Q3" i="25"/>
  <c r="C29" i="7"/>
  <c r="Q4" i="25" s="1"/>
  <c r="U12" i="26"/>
  <c r="U19" i="26"/>
  <c r="T4" i="25"/>
  <c r="G28" i="6"/>
  <c r="U21" i="24" s="1"/>
  <c r="R6" i="18"/>
  <c r="B62" i="1"/>
  <c r="P54" i="15" s="1"/>
  <c r="G20" i="3"/>
  <c r="U5" i="17" s="1"/>
  <c r="U3" i="27"/>
  <c r="D77" i="8"/>
  <c r="R68" i="26" s="1"/>
  <c r="G77" i="8"/>
  <c r="U68" i="26" s="1"/>
  <c r="B77" i="8"/>
  <c r="P68" i="26" s="1"/>
  <c r="G48" i="6"/>
  <c r="U41" i="24" s="1"/>
  <c r="E9" i="6"/>
  <c r="E159" i="6" s="1"/>
  <c r="S150" i="24" s="1"/>
  <c r="U26" i="24"/>
  <c r="C9" i="6"/>
  <c r="Q2" i="24" s="1"/>
  <c r="S3" i="24"/>
  <c r="F70" i="5"/>
  <c r="C70" i="5"/>
  <c r="G42" i="5"/>
  <c r="U35" i="20" s="1"/>
  <c r="U34" i="20"/>
  <c r="G70" i="5"/>
  <c r="F31" i="12"/>
  <c r="T23" i="30" s="1"/>
  <c r="D31" i="12"/>
  <c r="R23" i="30" s="1"/>
  <c r="E31" i="12"/>
  <c r="S23" i="30" s="1"/>
  <c r="C29" i="13"/>
  <c r="Q22" i="31" s="1"/>
  <c r="U2" i="27"/>
  <c r="G33" i="9"/>
  <c r="U24" i="27" s="1"/>
  <c r="F77" i="8"/>
  <c r="T68" i="26" s="1"/>
  <c r="E77" i="8"/>
  <c r="S68" i="26" s="1"/>
  <c r="U4" i="25"/>
  <c r="U48" i="24"/>
  <c r="D9" i="6"/>
  <c r="D159" i="6" s="1"/>
  <c r="R150" i="24" s="1"/>
  <c r="R31" i="24"/>
  <c r="U11" i="24"/>
  <c r="G10" i="6"/>
  <c r="F159" i="6"/>
  <c r="T150" i="24" s="1"/>
  <c r="E70" i="5"/>
  <c r="C21" i="4"/>
  <c r="Q12" i="18" s="1"/>
  <c r="P110" i="15"/>
  <c r="P95" i="15"/>
  <c r="P104" i="15"/>
  <c r="E81" i="1"/>
  <c r="P120" i="15" s="1"/>
  <c r="C62" i="1"/>
  <c r="Q54" i="15" s="1"/>
  <c r="P42" i="15"/>
  <c r="K20" i="3"/>
  <c r="Y5" i="17" s="1"/>
  <c r="R4" i="25"/>
  <c r="U3" i="17"/>
  <c r="W3" i="17"/>
  <c r="S4" i="25"/>
  <c r="Q2" i="25"/>
  <c r="T3" i="25"/>
  <c r="H20" i="3"/>
  <c r="V5" i="17" s="1"/>
  <c r="U3" i="25"/>
  <c r="P4" i="25"/>
  <c r="G9" i="6" l="1"/>
  <c r="R3" i="18"/>
  <c r="D8" i="4"/>
  <c r="U2" i="26"/>
  <c r="S2" i="24"/>
  <c r="C159" i="6"/>
  <c r="Q150" i="24" s="1"/>
  <c r="B70" i="5"/>
  <c r="P34" i="20"/>
  <c r="C23" i="4"/>
  <c r="C25" i="4" s="1"/>
  <c r="P2" i="24"/>
  <c r="B159" i="6"/>
  <c r="P150" i="24" s="1"/>
  <c r="R2" i="24"/>
  <c r="U3" i="24"/>
  <c r="Q13" i="18" l="1"/>
  <c r="R2" i="18"/>
  <c r="D21" i="4"/>
  <c r="R26" i="18"/>
  <c r="U2" i="24"/>
  <c r="G159" i="6"/>
  <c r="U150" i="24" s="1"/>
  <c r="C33" i="4"/>
  <c r="Q18" i="18" s="1"/>
  <c r="Q14" i="18"/>
  <c r="D23" i="4" l="1"/>
  <c r="R12" i="18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<sst xmlns="http://schemas.openxmlformats.org/spreadsheetml/2006/main" count="4243" uniqueCount="3306">
  <si>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</si>
  <si>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</si>
  <si>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</si>
  <si>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</si>
  <si>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</si>
  <si>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</si>
  <si>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</si>
  <si>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</si>
  <si>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</si>
  <si>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</si>
  <si>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</si>
  <si>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</si>
  <si>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</si>
  <si>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</si>
  <si>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</si>
  <si>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</si>
  <si>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</si>
  <si>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</si>
  <si>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</si>
  <si>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</si>
  <si>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</si>
  <si>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</si>
  <si>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</si>
  <si>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</si>
  <si>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</si>
  <si>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</si>
  <si>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</si>
  <si>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</si>
  <si>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</si>
  <si>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</si>
  <si>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</si>
  <si>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</si>
  <si>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</si>
  <si>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</si>
  <si>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</si>
  <si>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</si>
  <si>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</si>
  <si>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</si>
  <si>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</si>
  <si>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</si>
  <si>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</si>
  <si>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</si>
  <si>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</si>
  <si>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</si>
  <si>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</si>
  <si>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</si>
  <si>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</si>
  <si>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</si>
  <si>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</si>
  <si>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</si>
  <si>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</si>
  <si>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</si>
  <si>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</si>
  <si>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</si>
  <si>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</si>
  <si>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</si>
  <si>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</si>
  <si>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</si>
  <si>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</si>
  <si>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</si>
  <si>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</si>
  <si>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</si>
  <si>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</si>
  <si>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</si>
  <si>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</si>
  <si>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</si>
  <si>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</si>
  <si>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</si>
  <si>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</si>
  <si>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</si>
  <si>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</si>
  <si>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</si>
  <si>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</si>
  <si>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</si>
  <si>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</si>
  <si>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</si>
  <si>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</si>
  <si>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</si>
  <si>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</si>
  <si>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</si>
  <si>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</si>
  <si>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</si>
  <si>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</si>
  <si>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</si>
  <si>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</si>
  <si>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</si>
  <si>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</si>
  <si>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</si>
  <si>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</si>
  <si>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</si>
  <si>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</si>
  <si>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</si>
  <si>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</si>
  <si>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</si>
  <si>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</si>
  <si>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</si>
  <si>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</si>
  <si>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</si>
  <si>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</si>
  <si>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</si>
  <si>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</si>
  <si>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</si>
  <si>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</si>
  <si>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</si>
  <si>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</si>
  <si>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</si>
  <si>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</si>
  <si>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</si>
  <si>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</si>
  <si>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</si>
  <si>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</si>
  <si>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</si>
  <si>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</si>
  <si>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</si>
  <si>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</si>
  <si>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</si>
  <si>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</si>
  <si>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</si>
  <si>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</si>
  <si>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</si>
  <si>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</si>
  <si>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</si>
  <si>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</si>
  <si>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</si>
  <si>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</si>
  <si>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</si>
  <si>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</si>
  <si>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</si>
  <si>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</si>
  <si>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</si>
  <si>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</si>
  <si>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</si>
  <si>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</si>
  <si>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</si>
  <si>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</si>
  <si>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</si>
  <si>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</si>
  <si>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</si>
  <si>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</si>
  <si>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</si>
  <si>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</si>
  <si>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</si>
  <si>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</si>
  <si>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</si>
  <si>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</si>
  <si>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</si>
  <si>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</si>
  <si>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</si>
  <si>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</si>
  <si>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</si>
  <si>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</si>
  <si>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</si>
  <si>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</si>
  <si>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</si>
  <si>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</si>
  <si>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</si>
  <si>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</si>
  <si>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</si>
  <si>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</si>
  <si>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</si>
  <si>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</si>
  <si>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</si>
  <si>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</si>
  <si>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</si>
  <si>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</si>
  <si>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</si>
  <si>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</si>
  <si>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</si>
  <si>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</si>
  <si>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</si>
  <si>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</si>
  <si>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</si>
  <si>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</si>
  <si>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</si>
  <si>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</si>
  <si>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</si>
  <si>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</si>
  <si>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</si>
  <si>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</si>
  <si>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</si>
  <si>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</si>
  <si>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</si>
  <si>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</si>
  <si>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</si>
  <si>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</si>
  <si>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</si>
  <si>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</si>
  <si>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</si>
  <si>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</si>
  <si>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</si>
  <si>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</si>
  <si>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</si>
  <si>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</si>
  <si>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</si>
  <si>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</si>
  <si>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</si>
  <si>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</si>
  <si>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</si>
  <si>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</si>
  <si>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</si>
  <si>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</si>
  <si>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</si>
  <si>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</si>
  <si>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</si>
  <si>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</si>
  <si>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</si>
  <si>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</si>
  <si>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</si>
  <si>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</si>
  <si>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</si>
  <si>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</si>
  <si>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</si>
  <si>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</si>
  <si>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</si>
  <si>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</si>
  <si>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</si>
  <si>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</si>
  <si>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</si>
  <si>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</si>
  <si>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</si>
  <si>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</si>
  <si>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</si>
  <si>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</si>
  <si>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</si>
  <si>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</si>
  <si>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</si>
  <si>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</si>
  <si>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</si>
  <si>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</si>
  <si>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</si>
  <si>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</si>
  <si>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</si>
  <si>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</si>
  <si>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</si>
  <si>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</si>
  <si>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</si>
  <si>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</si>
  <si>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</si>
  <si>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</si>
  <si>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</si>
  <si>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</si>
  <si>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</si>
  <si>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</si>
  <si>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</si>
  <si>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</si>
  <si>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</si>
  <si>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</si>
  <si>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</si>
  <si>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</si>
  <si>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</si>
  <si>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</si>
  <si>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</si>
  <si>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</si>
  <si>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</si>
  <si>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</si>
  <si>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</si>
  <si>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</si>
  <si>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</si>
  <si>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</si>
  <si>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</si>
  <si>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</si>
  <si>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</si>
  <si>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</si>
  <si>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</si>
  <si>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</si>
  <si>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</si>
  <si>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</si>
  <si>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</si>
  <si>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</si>
  <si>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</si>
  <si>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</si>
  <si>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</si>
  <si>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</si>
  <si>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</si>
  <si>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</si>
  <si>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</si>
  <si>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</si>
  <si>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</si>
  <si>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</si>
  <si>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</si>
  <si>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</si>
  <si>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</si>
  <si>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</si>
  <si>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</si>
  <si>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</si>
  <si>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</si>
  <si>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</si>
  <si>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</si>
  <si>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</si>
  <si>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</si>
  <si>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</si>
  <si>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</si>
  <si>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</si>
  <si>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</si>
  <si>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</si>
  <si>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</si>
  <si>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</si>
  <si>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</si>
  <si>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</si>
  <si>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</si>
  <si>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</si>
  <si>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</si>
  <si>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</si>
  <si>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</si>
  <si>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</si>
  <si>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</si>
  <si>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</si>
  <si>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</si>
  <si>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</si>
  <si>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</si>
  <si>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</si>
  <si>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</si>
  <si>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</si>
  <si>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</si>
  <si>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</si>
  <si>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</si>
  <si>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</si>
  <si>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</si>
  <si>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</si>
  <si>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</si>
  <si>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</si>
  <si>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</si>
  <si>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</si>
  <si>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</si>
  <si>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</si>
  <si>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</si>
  <si>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</si>
  <si>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</si>
  <si>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</si>
  <si>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</si>
  <si>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</si>
  <si>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</si>
  <si>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</si>
  <si>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</si>
  <si>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</si>
  <si>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</si>
  <si>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</si>
  <si>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</si>
  <si>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</si>
  <si>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</si>
  <si>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</si>
  <si>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</si>
  <si>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</si>
  <si>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</si>
  <si>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</si>
  <si>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</si>
  <si>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</si>
  <si>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</si>
  <si>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</si>
  <si>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</si>
  <si>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</si>
  <si>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</si>
  <si>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</si>
  <si>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</si>
  <si>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</si>
  <si>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</si>
  <si>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</si>
  <si>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</si>
  <si>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</si>
  <si>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</si>
  <si>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</si>
  <si>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</si>
  <si>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</si>
  <si>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</si>
  <si>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</si>
  <si>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</si>
  <si>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</si>
  <si>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</si>
  <si>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</si>
  <si>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</si>
  <si>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</si>
  <si>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</si>
  <si>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</si>
  <si>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</si>
  <si>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</si>
  <si>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</si>
  <si>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</si>
  <si>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</si>
  <si>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</si>
  <si>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</si>
  <si>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</si>
  <si>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</si>
  <si>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</si>
  <si>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</si>
  <si>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</si>
  <si>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</si>
  <si>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</si>
  <si>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</si>
  <si>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</si>
  <si>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</si>
  <si>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</si>
  <si>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</si>
  <si>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</si>
  <si>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</si>
  <si>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</si>
  <si>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</si>
  <si>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</si>
  <si>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</si>
  <si>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</si>
  <si>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</si>
  <si>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</si>
  <si>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</si>
  <si>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</si>
  <si>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</si>
  <si>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</si>
  <si>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</si>
  <si>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</si>
  <si>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</si>
  <si>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</si>
  <si>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</si>
  <si>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</si>
  <si>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</si>
  <si>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</si>
  <si>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</si>
  <si>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</si>
  <si>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</si>
  <si>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</si>
  <si>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</si>
  <si>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</si>
  <si>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</si>
  <si>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</si>
  <si>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</si>
  <si>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</si>
  <si>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</si>
  <si>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</si>
  <si>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</si>
  <si>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</si>
  <si>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</si>
  <si>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</si>
  <si>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</si>
  <si>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</si>
  <si>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</si>
  <si>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</si>
  <si>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</si>
  <si>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</si>
  <si>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</si>
  <si>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</si>
  <si>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</si>
  <si>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</si>
  <si>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</si>
  <si>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</si>
  <si>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</si>
  <si>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</si>
  <si>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</si>
  <si>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</si>
  <si>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</si>
  <si>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</si>
  <si>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</si>
  <si>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</si>
  <si>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</si>
  <si>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</si>
  <si>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</si>
  <si>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</si>
  <si>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</si>
  <si>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</si>
  <si>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</si>
  <si>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</si>
  <si>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</si>
  <si>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</si>
  <si>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</si>
  <si>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</si>
  <si>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</si>
  <si>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</si>
  <si>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</si>
  <si>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</si>
  <si>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</si>
  <si>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</si>
  <si>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</si>
  <si>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</si>
  <si>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</si>
  <si>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</si>
  <si>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</si>
  <si>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</si>
  <si>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</si>
  <si>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</si>
  <si>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</si>
  <si>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</si>
  <si>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</si>
  <si>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</si>
  <si>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</si>
  <si>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</si>
  <si>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</si>
  <si>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</si>
  <si>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</si>
  <si>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</si>
  <si>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</si>
  <si>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</si>
  <si>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</si>
  <si>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</si>
  <si>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</si>
  <si>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</si>
  <si>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</si>
  <si>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</si>
  <si>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</si>
  <si>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</si>
  <si>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</si>
  <si>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</si>
  <si>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</si>
  <si>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</si>
  <si>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</si>
  <si>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</si>
  <si>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</si>
  <si>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</si>
  <si>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</si>
  <si>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</si>
  <si>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</si>
  <si>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</si>
  <si>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</si>
  <si>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</si>
  <si>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</si>
  <si>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</si>
  <si>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</si>
  <si>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</si>
  <si>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</si>
  <si>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</si>
  <si>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</si>
  <si>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</si>
  <si>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</si>
  <si>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</si>
  <si>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</si>
  <si>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</si>
  <si>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</si>
  <si>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</si>
  <si>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</si>
  <si>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</si>
  <si>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</si>
  <si>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</si>
  <si>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</si>
  <si>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</si>
  <si>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</si>
  <si>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</si>
  <si>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</si>
  <si>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</si>
  <si>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</si>
  <si>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</si>
  <si>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</si>
  <si>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</si>
  <si>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</si>
  <si>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</si>
  <si>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</si>
  <si>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</si>
  <si>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</si>
  <si>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</si>
  <si>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</si>
  <si>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</si>
  <si>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</si>
  <si>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</si>
  <si>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</si>
  <si>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</si>
  <si>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</si>
  <si>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</si>
  <si>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</si>
  <si>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</si>
  <si>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</si>
  <si>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</si>
  <si>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</si>
  <si>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</si>
  <si>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</si>
  <si>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</si>
  <si>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</si>
  <si>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</si>
  <si>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</si>
  <si>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</si>
  <si>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</si>
  <si>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</si>
  <si>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</si>
  <si>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</si>
  <si>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</si>
  <si>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</si>
  <si>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</si>
  <si>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</si>
  <si>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</si>
  <si>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</si>
  <si>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</si>
  <si>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</si>
  <si>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</si>
  <si>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</si>
  <si>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</si>
  <si>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</si>
  <si>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</si>
  <si>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</si>
  <si>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</si>
  <si>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</si>
  <si>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</si>
  <si>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</si>
  <si>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</si>
  <si>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</si>
  <si>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</si>
  <si>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</si>
  <si>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</si>
  <si>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</si>
  <si>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</si>
  <si>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</si>
  <si>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</si>
  <si>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</si>
  <si>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</si>
  <si>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</si>
  <si>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</si>
  <si>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</si>
  <si>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</si>
  <si>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</si>
  <si>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</si>
  <si>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</si>
  <si>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</si>
  <si>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</si>
  <si>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</si>
  <si>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</si>
  <si>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</si>
  <si>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</si>
  <si>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</si>
  <si>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</si>
  <si>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</si>
  <si>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</si>
  <si>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</si>
  <si>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</si>
  <si>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</si>
  <si>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</si>
  <si>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</si>
  <si>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</si>
  <si>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</si>
  <si>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</si>
  <si>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</si>
  <si>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</si>
  <si>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</si>
  <si>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</si>
  <si>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</si>
  <si>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</si>
  <si>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</si>
  <si>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</si>
  <si>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</si>
  <si>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</si>
  <si>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</si>
  <si>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</si>
  <si>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</si>
  <si>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</si>
  <si>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</si>
  <si>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</si>
  <si>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</si>
  <si>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</si>
  <si>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</si>
  <si>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</si>
  <si>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</si>
  <si>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</si>
  <si>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</si>
  <si>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</si>
  <si>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</si>
  <si>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</si>
  <si>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</si>
  <si>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</si>
  <si>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</si>
  <si>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</si>
  <si>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</si>
  <si>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</si>
  <si>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</si>
  <si>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</si>
  <si>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</si>
  <si>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</si>
  <si>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</si>
  <si>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</si>
  <si>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</si>
  <si>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</si>
  <si>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</si>
  <si>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</si>
  <si>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</si>
  <si>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</si>
  <si>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</si>
  <si>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</si>
  <si>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</si>
  <si>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</si>
  <si>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</si>
  <si>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</si>
  <si>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</si>
  <si>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</si>
  <si>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</si>
  <si>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</si>
  <si>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</si>
  <si>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</si>
  <si>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</si>
  <si>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</si>
  <si>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</si>
  <si>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</si>
  <si>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</si>
  <si>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</si>
  <si>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</si>
  <si>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</si>
  <si>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</si>
  <si>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</si>
  <si>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</si>
  <si>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</si>
  <si>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</si>
  <si>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</si>
  <si>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</si>
  <si>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</si>
  <si>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</si>
  <si>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</si>
  <si>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</si>
  <si>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</si>
  <si>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</si>
  <si>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</si>
  <si>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</si>
  <si>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</si>
  <si>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</si>
  <si>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</si>
  <si>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</si>
  <si>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</si>
  <si>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</si>
  <si>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</si>
  <si>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</si>
  <si>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</si>
  <si>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</si>
  <si>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</si>
  <si>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</si>
  <si>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</si>
  <si>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</si>
  <si>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</si>
  <si>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</si>
  <si>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</si>
  <si>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</si>
  <si>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</si>
  <si>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</si>
  <si>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</si>
  <si>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</si>
  <si>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</si>
  <si>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</si>
  <si>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</si>
  <si>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</si>
  <si>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</si>
  <si>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</si>
  <si>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</si>
  <si>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</si>
  <si>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</si>
  <si>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</si>
  <si>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</si>
  <si>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</si>
  <si>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</si>
  <si>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</si>
  <si>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</si>
  <si>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</si>
  <si>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</si>
  <si>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</si>
  <si>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</si>
  <si>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</si>
  <si>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</si>
  <si>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</si>
  <si>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</si>
  <si>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</si>
  <si>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</si>
  <si>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</si>
  <si>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</si>
  <si>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</si>
  <si>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</si>
  <si>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</si>
  <si>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</si>
  <si>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</si>
  <si>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</si>
  <si>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</si>
  <si>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</si>
  <si>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</si>
  <si>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</si>
  <si>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</si>
  <si>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</si>
  <si>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</si>
  <si>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</si>
  <si>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</si>
  <si>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</si>
  <si>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</si>
  <si>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</si>
  <si>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</si>
  <si>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</si>
  <si>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</si>
  <si>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</si>
  <si>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</si>
  <si>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</si>
  <si>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</si>
  <si>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</si>
  <si>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</si>
  <si>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</si>
  <si>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</si>
  <si>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</si>
  <si>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</si>
  <si>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</si>
  <si>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</si>
  <si>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</si>
  <si>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</si>
  <si>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</si>
  <si>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</si>
  <si>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</si>
  <si>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</si>
  <si>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</si>
  <si>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</si>
  <si>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</si>
  <si>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</si>
  <si>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</si>
  <si>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</si>
  <si>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</si>
  <si>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</si>
  <si>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</si>
  <si>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</si>
  <si>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</si>
  <si>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</si>
  <si>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</si>
  <si>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</si>
  <si>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</si>
  <si>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</si>
  <si>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</si>
  <si>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</si>
  <si>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</si>
  <si>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</si>
  <si>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</si>
  <si>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</si>
  <si>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</si>
  <si>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</si>
  <si>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</si>
  <si>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</si>
  <si>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</si>
  <si>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</si>
  <si>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</si>
  <si>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</si>
  <si>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</si>
  <si>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</si>
  <si>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</si>
  <si>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</si>
  <si>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</si>
  <si>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</si>
  <si>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</si>
  <si>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</si>
  <si>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</si>
  <si>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</si>
  <si>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</si>
  <si>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</si>
  <si>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</si>
  <si>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</si>
  <si>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</si>
  <si>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</si>
  <si>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</si>
  <si>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</si>
  <si>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</si>
  <si>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</si>
  <si>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</si>
  <si>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</si>
  <si>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</si>
  <si>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</si>
  <si>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</si>
  <si>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</si>
  <si>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</si>
  <si>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</si>
  <si>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</si>
  <si>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</si>
  <si>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</si>
  <si>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</si>
  <si>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</si>
  <si>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</si>
  <si>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</si>
  <si>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</si>
  <si>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</si>
  <si>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</si>
  <si>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</si>
  <si>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</si>
  <si>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</si>
  <si>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</si>
  <si>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</si>
  <si>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</si>
  <si>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</si>
  <si>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</si>
  <si>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</si>
  <si>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</si>
  <si>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</si>
  <si>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</si>
  <si>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</si>
  <si>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</si>
  <si>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</si>
  <si>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</si>
  <si>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</si>
  <si>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</si>
  <si>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</si>
  <si>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</si>
  <si>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</si>
  <si>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</si>
  <si>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</si>
  <si>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</si>
  <si>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</si>
  <si>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</si>
  <si>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</si>
  <si>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</si>
  <si>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</si>
  <si>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</si>
  <si>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</si>
  <si>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</si>
  <si>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</si>
  <si>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</si>
  <si>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</si>
  <si>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</si>
  <si>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</si>
  <si>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</si>
  <si>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</si>
  <si>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</si>
  <si>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</si>
  <si>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</si>
  <si>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</si>
  <si>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</si>
  <si>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</si>
  <si>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</si>
  <si>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</si>
  <si>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</si>
  <si>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</si>
  <si>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</si>
  <si>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</si>
  <si>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</si>
  <si>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</si>
  <si>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</si>
  <si>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</si>
  <si>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</si>
  <si>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</si>
  <si>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</si>
  <si>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</si>
  <si>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</si>
  <si>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</si>
  <si>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</si>
  <si>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</si>
  <si>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</si>
  <si>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</si>
  <si>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</si>
  <si>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</si>
  <si>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</si>
  <si>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</si>
  <si>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</si>
  <si>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</si>
  <si>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</si>
  <si>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</si>
  <si>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</si>
  <si>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</si>
  <si>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</si>
  <si>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</si>
  <si>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</si>
  <si>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</si>
  <si>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</si>
  <si>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</si>
  <si>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</si>
  <si>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</si>
  <si>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</si>
  <si>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</si>
  <si>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</si>
  <si>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</si>
  <si>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</si>
  <si>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</si>
  <si>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</si>
  <si>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</si>
  <si>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</si>
  <si>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</si>
  <si>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</si>
  <si>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</si>
  <si>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</si>
  <si>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</si>
  <si>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</si>
  <si>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</si>
  <si>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</si>
  <si>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</si>
  <si>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</si>
  <si>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</si>
  <si>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</si>
  <si>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</si>
  <si>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</si>
  <si>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</si>
  <si>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</si>
  <si>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</si>
  <si>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</si>
  <si>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</si>
  <si>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</si>
  <si>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</si>
  <si>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</si>
  <si>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</si>
  <si>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</si>
  <si>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</si>
  <si>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</si>
  <si>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</si>
  <si>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</si>
  <si>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</si>
  <si>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</si>
  <si>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</si>
  <si>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</si>
  <si>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</si>
  <si>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</si>
  <si>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</si>
  <si>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</si>
  <si>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</si>
  <si>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</si>
  <si>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</si>
  <si>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</si>
  <si>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</si>
  <si>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</si>
  <si>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</si>
  <si>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</si>
  <si>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</si>
  <si>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</si>
  <si>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</si>
  <si>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</si>
  <si>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</si>
  <si>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</si>
  <si>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</si>
  <si>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</si>
  <si>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</si>
  <si>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</si>
  <si>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</si>
  <si>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</si>
  <si>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</si>
  <si>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</si>
  <si>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</si>
  <si>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</si>
  <si>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</si>
  <si>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</si>
  <si>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</si>
  <si>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</si>
  <si>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</si>
  <si>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</si>
  <si>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</si>
  <si>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</si>
  <si>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</si>
  <si>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</si>
  <si>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</si>
  <si>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</si>
  <si>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</si>
  <si>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</si>
  <si>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</si>
  <si>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</si>
  <si>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</si>
  <si>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</si>
  <si>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</si>
  <si>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</si>
  <si>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</si>
  <si>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</si>
  <si>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</si>
  <si>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</si>
  <si>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</si>
  <si>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</si>
  <si>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</si>
  <si>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</si>
  <si>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</si>
  <si>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</si>
  <si>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</si>
  <si>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</si>
  <si>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</si>
  <si>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</si>
  <si>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</si>
  <si>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</si>
  <si>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</si>
  <si>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</si>
  <si>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</si>
  <si>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</si>
  <si>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</si>
  <si>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</si>
  <si>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</si>
  <si>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</si>
  <si>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</si>
  <si>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</si>
  <si>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</si>
  <si>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</si>
  <si>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</si>
  <si>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</si>
  <si>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</si>
  <si>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</si>
  <si>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</si>
  <si>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</si>
  <si>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</si>
  <si>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</si>
  <si>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</si>
  <si>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</si>
  <si>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</si>
  <si>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</si>
  <si>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</si>
  <si>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</si>
  <si>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</si>
  <si>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</si>
  <si>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</si>
  <si>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</si>
  <si>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</si>
  <si>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</si>
  <si>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</si>
  <si>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</si>
  <si>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</si>
  <si>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</si>
  <si>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</si>
  <si>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</si>
  <si>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</si>
  <si>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</si>
  <si>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</si>
  <si>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</si>
  <si>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</si>
  <si>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</si>
  <si>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</si>
  <si>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</si>
  <si>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</si>
  <si>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</si>
  <si>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</si>
  <si>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</si>
  <si>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</si>
  <si>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</si>
  <si>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</si>
  <si>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</si>
  <si>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</si>
  <si>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</si>
  <si>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</si>
  <si>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</si>
  <si>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</si>
  <si>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</si>
  <si>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</si>
  <si>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</si>
  <si>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</si>
  <si>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</si>
  <si>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</si>
  <si>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</si>
  <si>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</si>
  <si>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</si>
  <si>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</si>
  <si>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</si>
  <si>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</si>
  <si>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</si>
  <si>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</si>
  <si>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</si>
  <si>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</si>
  <si>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</si>
  <si>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</si>
  <si>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</si>
  <si>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</si>
  <si>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</si>
  <si>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</si>
  <si>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</si>
  <si>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</si>
  <si>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</si>
  <si>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</si>
  <si>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</si>
  <si>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</si>
  <si>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</si>
  <si>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</si>
  <si>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</si>
  <si>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</si>
  <si>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</si>
  <si>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</si>
  <si>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</si>
  <si>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</si>
  <si>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</si>
  <si>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</si>
  <si>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</si>
  <si>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</si>
  <si>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</si>
  <si>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</si>
  <si>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</si>
  <si>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</si>
  <si>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</si>
  <si>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</si>
  <si>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</si>
  <si>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</si>
  <si>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</si>
  <si>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</si>
  <si>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</si>
  <si>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</si>
  <si>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</si>
  <si>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</si>
  <si>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</si>
  <si>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</si>
  <si>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</si>
  <si>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</si>
  <si>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</si>
  <si>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</si>
  <si>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</si>
  <si>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</si>
  <si>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</si>
  <si>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</si>
  <si>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</si>
  <si>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</si>
  <si>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</si>
  <si>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</si>
  <si>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</si>
  <si>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</si>
  <si>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</si>
  <si>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</si>
  <si>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</si>
  <si>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</si>
  <si>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</si>
  <si>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</si>
  <si>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</si>
  <si>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</si>
  <si>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</si>
  <si>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</si>
  <si>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</si>
  <si>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</si>
  <si>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</si>
  <si>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</si>
  <si>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</si>
  <si>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</si>
  <si>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</si>
  <si>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</si>
  <si>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</si>
  <si>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</si>
  <si>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</si>
  <si>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</si>
  <si>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</si>
  <si>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</si>
  <si>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</si>
  <si>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</si>
  <si>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</si>
  <si>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</si>
  <si>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</si>
  <si>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</si>
  <si>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</si>
  <si>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</si>
  <si>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</si>
  <si>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</si>
  <si>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</si>
  <si>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</si>
  <si>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</si>
  <si>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</si>
  <si>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</si>
  <si>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</si>
  <si>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</si>
  <si>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</si>
  <si>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</si>
  <si>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</si>
  <si>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</si>
  <si>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</si>
  <si>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</si>
  <si>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</si>
  <si>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</si>
  <si>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</si>
  <si>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</si>
  <si>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</si>
  <si>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</si>
  <si>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</si>
  <si>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</si>
  <si>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</si>
  <si>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</si>
  <si>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</si>
  <si>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</si>
  <si>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</si>
  <si>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</si>
  <si>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</si>
  <si>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</si>
  <si>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</si>
  <si>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</si>
  <si>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</si>
  <si>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</si>
  <si>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</si>
  <si>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</si>
  <si>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</si>
  <si>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</si>
  <si>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</si>
  <si>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</si>
  <si>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</si>
  <si>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</si>
  <si>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</si>
  <si>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</si>
  <si>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</si>
  <si>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</si>
  <si>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</si>
  <si>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</si>
  <si>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</si>
  <si>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</si>
  <si>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</si>
  <si>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</si>
  <si>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</si>
  <si>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</si>
  <si>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</si>
  <si>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</si>
  <si>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</si>
  <si>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</si>
  <si>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</si>
  <si>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</si>
  <si>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</si>
  <si>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</si>
  <si>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</si>
  <si>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</si>
  <si>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</si>
  <si>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</si>
  <si>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</si>
  <si>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</si>
  <si>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</si>
  <si>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</si>
  <si>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</si>
  <si>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</si>
  <si>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</si>
  <si>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</si>
  <si>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</si>
  <si>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</si>
  <si>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</si>
  <si>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</si>
  <si>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</si>
  <si>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</si>
  <si>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</si>
  <si>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</si>
  <si>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</si>
  <si>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</si>
  <si>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</si>
  <si>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</si>
  <si>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</si>
  <si>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</si>
  <si>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</si>
  <si>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</si>
  <si>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</si>
  <si>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</si>
  <si>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</si>
  <si>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</si>
  <si>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</si>
  <si>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</si>
  <si>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</si>
  <si>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</si>
  <si>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</si>
  <si>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</si>
  <si>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</si>
  <si>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</si>
  <si>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</si>
  <si>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</si>
  <si>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</si>
  <si>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</si>
  <si>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</si>
  <si>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</si>
  <si>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</si>
  <si>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</si>
  <si>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</si>
  <si>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</si>
  <si>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</si>
  <si>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</si>
  <si>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</si>
  <si>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</si>
  <si>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</si>
  <si>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</si>
  <si>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</si>
  <si>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</si>
  <si>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</si>
  <si>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</si>
  <si>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</si>
  <si>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</si>
  <si>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</si>
  <si>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</si>
  <si>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</si>
  <si>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</si>
  <si>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</si>
  <si>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</si>
  <si>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</si>
  <si>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</si>
  <si>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</si>
  <si>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</si>
  <si>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</si>
  <si>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</si>
  <si>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</si>
  <si>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</si>
  <si>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</si>
  <si>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</si>
  <si>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</si>
  <si>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</si>
  <si>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</si>
  <si>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</si>
  <si>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</si>
  <si>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</si>
  <si>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</si>
  <si>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</si>
  <si>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</si>
  <si>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</si>
  <si>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</si>
  <si>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</si>
  <si>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</si>
  <si>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</si>
  <si>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</si>
  <si>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</si>
  <si>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</si>
  <si>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</si>
  <si>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</si>
  <si>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</si>
  <si>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</si>
  <si>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</si>
  <si>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</si>
  <si>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</si>
  <si>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</si>
  <si>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</si>
  <si>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</si>
  <si>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</si>
  <si>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</si>
  <si>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</si>
  <si>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</si>
  <si>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</si>
  <si>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</si>
  <si>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</si>
  <si>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</si>
  <si>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</si>
  <si>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</si>
  <si>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</si>
  <si>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</si>
  <si>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</si>
  <si>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</si>
  <si>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</si>
  <si>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</si>
  <si>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</si>
  <si>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</si>
  <si>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</si>
  <si>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</si>
  <si>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</si>
  <si>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</si>
  <si>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</si>
  <si>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</si>
  <si>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</si>
  <si>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</si>
  <si>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</si>
  <si>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</si>
  <si>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</si>
  <si>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</si>
  <si>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</si>
  <si>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</si>
  <si>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</si>
  <si>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</si>
  <si>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</si>
  <si>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</si>
  <si>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</si>
  <si>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</si>
  <si>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</si>
  <si>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</si>
  <si>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</si>
  <si>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</si>
  <si>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</si>
  <si>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</si>
  <si>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</si>
  <si>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</si>
  <si>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</si>
  <si>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</si>
  <si>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</si>
  <si>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</si>
  <si>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</si>
  <si>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</si>
  <si>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</si>
  <si>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</si>
  <si>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</si>
  <si>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</si>
  <si>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</si>
  <si>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</si>
  <si>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</si>
  <si>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</si>
  <si>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</si>
  <si>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</si>
  <si>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</si>
  <si>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</si>
  <si>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</si>
  <si>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</si>
  <si>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</si>
  <si>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</si>
  <si>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</si>
  <si>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</si>
  <si>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</si>
  <si>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</si>
  <si>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</si>
  <si>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</si>
  <si>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</si>
  <si>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</si>
  <si>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</si>
  <si>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</si>
  <si>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</si>
  <si>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</si>
  <si>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</si>
  <si>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</si>
  <si>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</si>
  <si>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</si>
  <si>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</si>
  <si>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</si>
  <si>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</si>
  <si>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</si>
  <si>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</si>
  <si>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</si>
  <si>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</si>
  <si>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</si>
  <si>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</si>
  <si>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</si>
  <si>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</si>
  <si>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</si>
  <si>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</si>
  <si>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</si>
  <si>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</si>
  <si>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</si>
  <si>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</si>
  <si>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</si>
  <si>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</si>
  <si>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</si>
  <si>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</si>
  <si>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</si>
  <si>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</si>
  <si>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</si>
  <si>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</si>
  <si>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</si>
  <si>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</si>
  <si>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</si>
  <si>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</si>
  <si>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</si>
  <si>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</si>
  <si>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</si>
  <si>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</si>
  <si>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</si>
  <si>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</si>
  <si>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</si>
  <si>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</si>
  <si>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</si>
  <si>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</si>
  <si>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</si>
  <si>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</si>
  <si>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</si>
  <si>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</si>
  <si>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</si>
  <si>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</si>
  <si>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</si>
  <si>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</si>
  <si>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</si>
  <si>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</si>
  <si>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</si>
  <si>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</si>
  <si>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</si>
  <si>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</si>
  <si>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</si>
  <si>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</si>
  <si>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</si>
  <si>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</si>
  <si>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</si>
  <si>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</si>
  <si>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</si>
  <si>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</si>
  <si>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</si>
  <si>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</si>
  <si>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</si>
  <si>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</si>
  <si>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</si>
  <si>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</si>
  <si>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</si>
  <si>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</si>
  <si>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</si>
  <si>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</si>
  <si>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</si>
  <si>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</si>
  <si>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</si>
  <si>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</si>
  <si>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</si>
  <si>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</si>
  <si>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</si>
  <si>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</si>
  <si>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</si>
  <si>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</si>
  <si>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</si>
  <si>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</si>
  <si>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</si>
  <si>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</si>
  <si>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</si>
  <si>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</si>
  <si>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</si>
  <si>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</si>
  <si>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</si>
  <si>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</si>
  <si>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</si>
  <si>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</si>
  <si>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</si>
  <si>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</si>
  <si>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</si>
  <si>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</si>
  <si>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</si>
  <si>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</si>
  <si>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</si>
  <si>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</si>
  <si>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</si>
  <si>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</si>
  <si>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</si>
  <si>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</si>
  <si>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</si>
  <si>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</si>
  <si>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</si>
  <si>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</si>
  <si>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</si>
  <si>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</si>
  <si>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</si>
  <si>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</si>
  <si>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</si>
  <si>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</si>
  <si>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</si>
  <si>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</si>
  <si>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</si>
  <si>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</si>
  <si>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</si>
  <si>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</si>
  <si>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</si>
  <si>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</si>
  <si>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</si>
  <si>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</si>
  <si>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</si>
  <si>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</si>
  <si>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</si>
  <si>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</si>
  <si>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</si>
  <si>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</si>
  <si>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</si>
  <si>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</si>
  <si>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</si>
  <si>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</si>
  <si>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</si>
  <si>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</si>
  <si>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</si>
  <si>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</si>
  <si>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</si>
  <si>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</si>
  <si>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</si>
  <si>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</si>
  <si>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</si>
  <si>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</si>
  <si>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</si>
  <si>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</si>
  <si>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</si>
  <si>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</si>
  <si>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</si>
  <si>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</si>
  <si>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</si>
  <si>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</si>
  <si>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</si>
  <si>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</si>
  <si>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</si>
  <si>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</si>
  <si>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</si>
  <si>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</si>
  <si>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</si>
  <si>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</si>
  <si>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</si>
  <si>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</si>
  <si>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</si>
  <si>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</si>
  <si>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</si>
  <si>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</si>
  <si>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</si>
  <si>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</si>
  <si>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</si>
  <si>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</si>
  <si>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</si>
  <si>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</si>
  <si>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</si>
  <si>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</si>
  <si>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</si>
  <si>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</si>
  <si>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</si>
  <si>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</si>
  <si>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</si>
  <si>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</si>
  <si>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</si>
  <si>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</si>
  <si>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</si>
  <si>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</si>
  <si>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</si>
  <si>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</si>
  <si>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</si>
  <si>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</si>
  <si>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</si>
  <si>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</si>
  <si>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</si>
  <si>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</si>
  <si>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</si>
  <si>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</si>
  <si>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</si>
  <si>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</si>
  <si>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</si>
  <si>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</si>
  <si>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</si>
  <si>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</si>
  <si>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</si>
  <si>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</si>
  <si>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</si>
  <si>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</si>
  <si>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</si>
  <si>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</si>
  <si>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</si>
  <si>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</si>
  <si>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</si>
  <si>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</si>
  <si>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</si>
  <si>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</si>
  <si>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</si>
  <si>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</si>
  <si>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</si>
  <si>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</si>
  <si>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</si>
  <si>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</si>
  <si>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</si>
  <si>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</si>
  <si>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</si>
  <si>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</si>
  <si>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</si>
  <si>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</si>
  <si>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</si>
  <si>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</si>
  <si>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</si>
  <si>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</si>
  <si>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</si>
  <si>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</si>
  <si>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</si>
  <si>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</si>
  <si>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</si>
  <si>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</si>
  <si>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</si>
  <si>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</si>
  <si>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</si>
  <si>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</si>
  <si>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</si>
  <si>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</si>
  <si>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</si>
  <si>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</si>
  <si>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</si>
  <si>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</si>
  <si>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</si>
  <si>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</si>
  <si>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</si>
  <si>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</si>
  <si>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</si>
  <si>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</si>
  <si>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</si>
  <si>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</si>
  <si>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</si>
  <si>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</si>
  <si>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</si>
  <si>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</si>
  <si>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</si>
  <si>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</si>
  <si>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</si>
  <si>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</si>
  <si>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</si>
  <si>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</si>
  <si>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</si>
  <si>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</si>
  <si>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</si>
  <si>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</si>
  <si>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</si>
  <si>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</si>
  <si>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</si>
  <si>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</si>
  <si>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</si>
  <si>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</si>
  <si>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</si>
  <si>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</si>
  <si>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</si>
  <si>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</si>
  <si>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</si>
  <si>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</si>
  <si>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</si>
  <si>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</si>
  <si>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</si>
  <si>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</si>
  <si>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</si>
  <si>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</si>
  <si>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</si>
  <si>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</si>
  <si>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</si>
  <si>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</si>
  <si>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</si>
  <si>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</si>
  <si>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</si>
  <si>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</si>
  <si>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</si>
  <si>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</si>
  <si>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</si>
  <si>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</si>
  <si>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</si>
  <si>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</si>
  <si>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</si>
  <si>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</si>
  <si>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</si>
  <si>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</si>
  <si>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</si>
  <si>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</si>
  <si>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</si>
  <si>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</si>
  <si>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</si>
  <si>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</si>
  <si>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</si>
  <si>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</si>
  <si>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</si>
  <si>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</si>
  <si>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</si>
  <si>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</si>
  <si>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</si>
  <si>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</si>
  <si>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</si>
  <si>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</si>
  <si>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</si>
  <si>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</si>
  <si>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</si>
  <si>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</si>
  <si>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</si>
  <si>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</si>
  <si>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</si>
  <si>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</si>
  <si>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</si>
  <si>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</si>
  <si>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</si>
  <si>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</si>
  <si>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</si>
  <si>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</si>
  <si>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</si>
  <si>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</si>
  <si>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</si>
  <si>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</si>
  <si>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</si>
  <si>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</si>
  <si>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</si>
  <si>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</si>
  <si>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</si>
  <si>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</si>
  <si>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</si>
  <si>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</si>
  <si>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</si>
  <si>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</si>
  <si>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</si>
  <si>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</si>
  <si>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</si>
  <si>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</si>
  <si>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</si>
  <si>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</si>
  <si>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</si>
  <si>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</si>
  <si>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</si>
  <si>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</si>
  <si>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</si>
  <si>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</si>
  <si>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</si>
  <si>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</si>
  <si>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</si>
  <si>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</si>
  <si>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</si>
  <si>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</si>
  <si>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</si>
  <si>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</si>
  <si>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</si>
  <si>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</si>
  <si>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</si>
  <si>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</si>
  <si>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</si>
  <si>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</si>
  <si>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</si>
  <si>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</si>
  <si>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</si>
  <si>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</si>
  <si>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</si>
  <si>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</si>
  <si>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</si>
  <si>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</si>
  <si>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</si>
  <si>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</si>
  <si>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</si>
  <si>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</si>
  <si>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</si>
  <si>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</si>
  <si>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</si>
  <si>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</si>
  <si>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</si>
  <si>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</si>
  <si>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</si>
  <si>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</si>
  <si>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</si>
  <si>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</si>
  <si>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</si>
  <si>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</si>
  <si>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</si>
  <si>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</si>
  <si>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</si>
  <si>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</si>
  <si>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</si>
  <si>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</si>
  <si>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</si>
  <si>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</si>
  <si>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</si>
  <si>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</si>
  <si>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</si>
  <si>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</si>
  <si>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</si>
  <si>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</si>
  <si>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</si>
  <si>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</si>
  <si>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</si>
  <si>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</si>
  <si>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</si>
  <si>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</si>
  <si>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</si>
  <si>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</si>
  <si>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</si>
  <si>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</si>
  <si>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</si>
  <si>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</si>
  <si>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</si>
  <si>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</si>
  <si>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</si>
  <si>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</si>
  <si>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</si>
  <si>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</si>
  <si>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</si>
  <si>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</si>
  <si>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</si>
  <si>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</si>
  <si>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</si>
  <si>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</si>
  <si>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</si>
  <si>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</si>
  <si>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</si>
  <si>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</si>
  <si>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</si>
  <si>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</si>
  <si>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</si>
  <si>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</si>
  <si>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</si>
  <si>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</si>
  <si>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</si>
  <si>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</si>
  <si>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</si>
  <si>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</si>
  <si>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</si>
  <si>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</si>
  <si>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</si>
  <si>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</si>
  <si>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</si>
  <si>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</si>
  <si>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</si>
  <si>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</si>
  <si>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</si>
  <si>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</si>
  <si>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</si>
  <si>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</si>
  <si>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</si>
  <si>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</si>
  <si>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</si>
  <si>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</si>
  <si>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</si>
  <si>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</si>
  <si>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</si>
  <si>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</si>
  <si>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</si>
  <si>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</si>
  <si>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</si>
  <si>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</si>
  <si>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</si>
  <si>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</si>
  <si>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</si>
  <si>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</si>
  <si>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</si>
  <si>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</si>
  <si>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</si>
  <si>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</si>
  <si>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</si>
  <si>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</si>
  <si>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</si>
  <si>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</si>
  <si>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</si>
  <si>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</si>
  <si>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</si>
  <si>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</si>
  <si>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</si>
  <si>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</si>
  <si>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</si>
  <si>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</si>
  <si>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</si>
  <si>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</si>
  <si>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</si>
  <si>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</si>
  <si>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</si>
  <si>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</si>
  <si>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</si>
  <si>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</si>
  <si>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</si>
  <si>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</si>
  <si>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</si>
  <si>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</si>
  <si>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</si>
  <si>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</si>
  <si>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</si>
  <si>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</si>
  <si>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</si>
  <si>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</si>
  <si>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</si>
  <si>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</si>
  <si>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</si>
  <si>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</si>
  <si>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</si>
  <si>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</si>
  <si>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</si>
  <si>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</si>
  <si>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</si>
  <si>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</si>
  <si>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</si>
  <si>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</si>
  <si>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</si>
  <si>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</si>
  <si>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</si>
  <si>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</si>
  <si>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</si>
  <si>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</si>
  <si>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</si>
  <si>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</si>
  <si>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</si>
  <si>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</si>
  <si>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</si>
  <si>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</si>
  <si>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</si>
  <si>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</si>
  <si>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</si>
  <si>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</si>
  <si>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</si>
  <si>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</si>
  <si>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</si>
  <si>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</si>
  <si>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</si>
  <si>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</si>
  <si>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</si>
  <si>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</si>
  <si>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</si>
  <si>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</si>
  <si>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</si>
  <si>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</si>
  <si>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</si>
  <si>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</si>
  <si>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</si>
  <si>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</si>
  <si>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</si>
  <si>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</si>
  <si>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</si>
  <si>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</si>
  <si>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</si>
  <si>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</si>
  <si>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</si>
  <si>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</si>
  <si>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</si>
  <si>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</si>
  <si>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</si>
  <si>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</si>
  <si>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</si>
  <si>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</si>
  <si>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</si>
  <si>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</si>
  <si>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</si>
  <si>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</si>
  <si>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</si>
  <si>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</si>
  <si>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</si>
  <si>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</si>
  <si>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</si>
  <si>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</si>
  <si>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</si>
  <si>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</si>
  <si>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</si>
  <si>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</si>
  <si>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</si>
  <si>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</si>
  <si>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</si>
  <si>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</si>
  <si>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</si>
  <si>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</si>
  <si>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</si>
  <si>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</si>
  <si>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</si>
  <si>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</si>
  <si>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</si>
  <si>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</si>
  <si>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</si>
  <si>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</si>
  <si>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</si>
  <si>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</si>
  <si>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</si>
  <si>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</si>
  <si>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</si>
  <si>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</si>
  <si>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</si>
  <si>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</si>
  <si>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</si>
  <si>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</si>
  <si>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</si>
  <si>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</si>
  <si>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</si>
  <si>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</si>
  <si>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</si>
  <si>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</si>
  <si>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</si>
  <si>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</si>
  <si>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</si>
  <si>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</si>
  <si>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</si>
  <si>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</si>
  <si>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</si>
  <si>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</si>
  <si>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</si>
  <si>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</si>
  <si>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</si>
  <si>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</si>
  <si>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</si>
  <si>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</si>
  <si>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</si>
  <si>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</si>
  <si>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</si>
  <si>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</si>
  <si>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</si>
  <si>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</si>
  <si>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</si>
  <si>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</si>
  <si>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</si>
  <si>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</si>
  <si>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</si>
  <si>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</si>
  <si>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</si>
  <si>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</si>
  <si>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</si>
  <si>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</si>
  <si>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</si>
  <si>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</si>
  <si>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</si>
  <si>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</si>
  <si>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</si>
  <si>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</si>
  <si>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</si>
  <si>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</si>
  <si>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</si>
  <si>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</si>
  <si>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</si>
  <si>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</si>
  <si>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</si>
  <si>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</si>
  <si>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</si>
  <si>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</si>
  <si>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</si>
  <si>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</si>
  <si>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</si>
  <si>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</si>
  <si>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</si>
  <si>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</si>
  <si>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</si>
  <si>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</si>
  <si>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</si>
  <si>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</si>
  <si>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</si>
  <si>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</si>
  <si>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</si>
  <si>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</si>
  <si>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</si>
  <si>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</si>
  <si>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</si>
  <si>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</si>
  <si>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</si>
  <si>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</si>
  <si>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</si>
  <si>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</si>
  <si>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</si>
  <si>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</si>
  <si>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</si>
  <si>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</si>
  <si>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</si>
  <si>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</si>
  <si>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</si>
  <si>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</si>
  <si>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</si>
  <si>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</si>
  <si>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</si>
  <si>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</si>
  <si>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</si>
  <si>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</si>
  <si>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</si>
  <si>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</si>
  <si>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</si>
  <si>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</si>
  <si>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</si>
  <si>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</si>
  <si>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</si>
  <si>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</si>
  <si>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</si>
  <si>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</si>
  <si>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</si>
  <si>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</si>
  <si>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</si>
  <si>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</si>
  <si>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</si>
  <si>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</si>
  <si>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</si>
  <si>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</si>
  <si>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</si>
  <si>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</si>
  <si>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</si>
  <si>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</si>
  <si>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</si>
  <si>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</si>
  <si>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</si>
  <si>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</si>
  <si>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</si>
  <si>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</si>
  <si>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</si>
  <si>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</si>
  <si>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</si>
  <si>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</si>
  <si>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</si>
  <si>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</si>
  <si>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</si>
  <si>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</si>
  <si>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</si>
  <si>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</si>
  <si>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</si>
  <si>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</si>
  <si>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</si>
  <si>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</si>
  <si>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</si>
  <si>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</si>
  <si>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</si>
  <si>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</si>
  <si>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</si>
  <si>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</si>
  <si>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</si>
  <si>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</si>
  <si>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</si>
  <si>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</si>
  <si>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</si>
  <si>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</si>
  <si>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</si>
  <si>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</si>
  <si>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</si>
  <si>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</si>
  <si>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</si>
  <si>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</si>
  <si>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</si>
  <si>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</si>
  <si>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</si>
  <si>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</si>
  <si>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</si>
  <si>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</si>
  <si>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</si>
  <si>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</si>
  <si>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</si>
  <si>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</si>
  <si>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</si>
  <si>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</si>
  <si>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</si>
  <si>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</si>
  <si>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</si>
  <si>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</si>
  <si>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</si>
  <si>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</si>
  <si>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</si>
  <si>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</si>
  <si>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</si>
  <si>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</si>
  <si>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</si>
  <si>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</si>
  <si>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</si>
  <si>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</si>
  <si>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</si>
  <si>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</si>
  <si>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</si>
  <si>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</si>
  <si>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</si>
  <si>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</si>
  <si>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</si>
  <si>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</si>
  <si>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</si>
  <si>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</si>
  <si>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</si>
  <si>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</si>
  <si>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</si>
  <si>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</si>
  <si>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</si>
  <si>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</si>
  <si>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</si>
  <si>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</si>
  <si>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</si>
  <si>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</si>
  <si>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</si>
  <si>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</si>
  <si>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</si>
  <si>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</si>
  <si>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</si>
  <si>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</si>
  <si>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</si>
  <si>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</si>
  <si>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</si>
  <si>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</si>
  <si>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</si>
  <si>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</si>
  <si>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</si>
  <si>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</si>
  <si>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</si>
  <si>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</si>
  <si>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</si>
  <si>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</si>
  <si>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</si>
  <si>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</si>
  <si>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</si>
  <si>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</si>
  <si>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</si>
  <si>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</si>
  <si>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</si>
  <si>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</si>
  <si>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</si>
  <si>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</si>
  <si>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</si>
  <si>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</si>
  <si>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</si>
  <si>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</si>
  <si>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</si>
  <si>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</si>
  <si>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</si>
  <si>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</si>
  <si>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</si>
  <si>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</si>
  <si>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</si>
  <si>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</si>
  <si>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</si>
  <si>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</si>
  <si>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</si>
  <si>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</si>
  <si>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</si>
  <si>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</si>
  <si>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</si>
  <si>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</si>
  <si>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</si>
  <si>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</si>
  <si>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</si>
  <si>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</si>
  <si>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</si>
  <si>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</si>
  <si>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</si>
  <si>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</si>
  <si>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</si>
  <si>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</si>
  <si>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</si>
  <si>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</si>
  <si>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</si>
  <si>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</si>
  <si>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</si>
  <si>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</si>
  <si>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</si>
  <si>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</si>
  <si>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</si>
  <si>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</si>
  <si>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</si>
  <si>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</si>
  <si>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</si>
  <si>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</si>
  <si>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</si>
  <si>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</si>
  <si>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</si>
  <si>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</si>
  <si>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</si>
  <si>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</si>
  <si>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</si>
  <si>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</si>
  <si>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</si>
  <si>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</si>
  <si>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</si>
  <si>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</si>
  <si>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</si>
  <si>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</si>
  <si>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</si>
  <si>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</si>
  <si>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</si>
  <si>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</si>
  <si>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</si>
  <si>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</si>
  <si>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</si>
  <si>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</si>
  <si>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</si>
  <si>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</si>
  <si>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</si>
  <si>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</si>
  <si>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</si>
  <si>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</si>
  <si>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</si>
  <si>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</si>
  <si>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</si>
  <si>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</si>
  <si>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</si>
  <si>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</si>
  <si>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</si>
  <si>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</si>
  <si>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</si>
  <si>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</si>
  <si>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</si>
  <si>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</si>
  <si>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</si>
  <si>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</si>
  <si>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</si>
  <si>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</si>
  <si>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</si>
  <si>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</si>
  <si>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</si>
  <si>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</si>
  <si>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</si>
  <si>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</si>
  <si>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</si>
  <si>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</si>
  <si>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</si>
  <si>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</si>
  <si>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</si>
  <si>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</si>
  <si>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</si>
  <si>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</si>
  <si>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</si>
  <si>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</si>
  <si>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</si>
  <si>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</si>
  <si>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</si>
  <si>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</si>
  <si>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</si>
  <si>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</si>
  <si>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</si>
  <si>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</si>
  <si>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</si>
  <si>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</si>
  <si>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</si>
  <si>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</si>
  <si>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</si>
  <si>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</si>
  <si>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</si>
  <si>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</si>
  <si>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</si>
  <si>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</si>
  <si>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</si>
  <si>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</si>
  <si>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</si>
  <si>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</si>
  <si>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</si>
  <si>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</si>
  <si>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</si>
  <si>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</si>
  <si>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</si>
  <si>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</si>
  <si>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</si>
  <si>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</si>
  <si>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</si>
  <si>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</si>
  <si>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</si>
  <si>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</si>
  <si>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</si>
  <si>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</si>
  <si>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</si>
  <si>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</si>
  <si>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</si>
  <si>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</si>
  <si>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</si>
  <si>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</si>
  <si>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</si>
  <si>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</si>
  <si>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</si>
  <si>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</si>
  <si>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</si>
  <si>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</si>
  <si>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</si>
  <si>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</si>
  <si>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</si>
  <si>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</si>
  <si>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</si>
  <si>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</si>
  <si>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</si>
  <si>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</si>
  <si>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</si>
  <si>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</si>
  <si>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</si>
  <si>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</si>
  <si>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</si>
  <si>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</si>
  <si>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</si>
  <si>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</si>
  <si>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</si>
  <si>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</si>
  <si>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</si>
  <si>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</si>
  <si>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</si>
  <si>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</si>
  <si>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</si>
  <si>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</si>
  <si>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</si>
  <si>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</si>
  <si>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</si>
  <si>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</si>
  <si>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</si>
  <si>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</si>
  <si>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</si>
  <si>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</si>
  <si>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</si>
  <si>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</si>
  <si>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</si>
  <si>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</si>
  <si>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</si>
  <si>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</si>
  <si>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</si>
  <si>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</si>
  <si>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</si>
  <si>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</si>
  <si>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</si>
  <si>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</si>
  <si>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</si>
  <si>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</si>
  <si>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</si>
  <si>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</si>
  <si>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</si>
  <si>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</si>
  <si>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</si>
  <si>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</si>
  <si>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</si>
  <si>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</si>
  <si>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</si>
  <si>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</si>
  <si>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</si>
  <si>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</si>
  <si>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</si>
  <si>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</si>
  <si>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</si>
  <si>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</si>
  <si>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</si>
  <si>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</si>
  <si>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</si>
  <si>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</si>
  <si>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</si>
  <si>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</si>
  <si>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</si>
  <si>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</si>
  <si>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</si>
  <si>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</si>
  <si>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</si>
  <si>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</si>
  <si>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</si>
  <si>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</si>
  <si>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</si>
  <si>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</si>
  <si>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</si>
  <si>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</si>
  <si>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</si>
  <si>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</si>
  <si>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</si>
  <si>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</si>
  <si>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</si>
  <si>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</si>
  <si>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</si>
  <si>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</si>
  <si>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</si>
  <si>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</si>
  <si>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</si>
  <si>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</si>
  <si>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</si>
  <si>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</si>
  <si>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</si>
  <si>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</si>
  <si>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</si>
  <si>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</si>
  <si>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</si>
  <si>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</si>
  <si>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</si>
  <si>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</si>
  <si>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</si>
  <si>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</si>
  <si>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</si>
  <si>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</si>
  <si>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</si>
  <si>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</si>
  <si>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</si>
  <si>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</si>
  <si>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</si>
  <si>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</si>
  <si>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</si>
  <si>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</si>
  <si>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</si>
  <si>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</si>
  <si>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</si>
  <si>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</si>
  <si>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</si>
  <si>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</si>
  <si>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</si>
  <si>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</si>
  <si>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</si>
  <si>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</si>
  <si>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</si>
  <si>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</si>
  <si>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</si>
  <si>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</si>
  <si>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</si>
  <si>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</si>
  <si>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</si>
  <si>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</si>
  <si>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</si>
  <si>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</si>
  <si>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</si>
  <si>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</si>
  <si>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</si>
  <si>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</si>
  <si>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</si>
  <si>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</si>
  <si>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</si>
  <si>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</si>
  <si>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</si>
  <si>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</si>
  <si>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</si>
  <si>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</si>
  <si>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</si>
  <si>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</si>
  <si>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</si>
  <si>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</si>
  <si>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</si>
  <si>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</si>
  <si>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</si>
  <si>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</si>
  <si>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</si>
  <si>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</si>
  <si>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</si>
  <si>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</si>
  <si>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</si>
  <si>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</si>
  <si>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</si>
  <si>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</si>
  <si>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</si>
  <si>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</si>
  <si>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</si>
  <si>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</si>
  <si>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</si>
  <si>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</si>
  <si>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</si>
  <si>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</si>
  <si>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</si>
  <si>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</si>
  <si>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</si>
  <si>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</si>
  <si>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</si>
  <si>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</si>
  <si>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</si>
  <si>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</si>
  <si>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</si>
  <si>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</si>
  <si>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</si>
  <si>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</si>
  <si>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</si>
  <si>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</si>
  <si>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</si>
  <si>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</si>
  <si>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</si>
  <si>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</si>
  <si>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</si>
  <si>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</si>
  <si>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</si>
  <si>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</si>
  <si>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</si>
  <si>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</si>
  <si>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</si>
  <si>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</si>
  <si>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</si>
  <si>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</si>
  <si>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</si>
  <si>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</si>
  <si>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</si>
  <si>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</si>
  <si>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</si>
  <si>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</si>
  <si>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</si>
  <si>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</si>
  <si>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</si>
  <si>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</si>
  <si>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</si>
  <si>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</si>
  <si>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</si>
  <si>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</si>
  <si>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</si>
  <si>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</si>
  <si>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</si>
  <si>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</si>
  <si>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</si>
  <si>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</si>
  <si>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</si>
  <si>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</si>
  <si>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</si>
  <si>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</si>
  <si>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</si>
  <si>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</si>
  <si>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</si>
  <si>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</si>
  <si>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</si>
  <si>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</si>
  <si>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</si>
  <si>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</si>
  <si>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</si>
  <si>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</si>
  <si>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</si>
  <si>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</si>
  <si>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</si>
  <si>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</si>
  <si>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</si>
  <si>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</si>
  <si>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</si>
  <si>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</si>
  <si>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</si>
  <si>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</si>
  <si>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</si>
  <si>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</si>
  <si>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</si>
  <si>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</si>
  <si>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</si>
  <si>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</si>
  <si>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</si>
  <si>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</si>
  <si>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</si>
  <si>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</si>
  <si>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</si>
  <si>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</si>
  <si>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</si>
  <si>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</si>
  <si>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</si>
  <si>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</si>
  <si>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</si>
  <si>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</si>
  <si>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</si>
  <si>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</si>
  <si>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</si>
  <si>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</si>
  <si>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</si>
  <si>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</si>
  <si>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</si>
  <si>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</si>
  <si>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</si>
  <si>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</si>
  <si>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</si>
  <si>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</si>
  <si>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</si>
  <si>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</si>
  <si>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</si>
  <si>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</si>
  <si>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</si>
  <si>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</si>
  <si>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</si>
  <si>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</si>
  <si>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</si>
  <si>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</si>
  <si>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</si>
  <si>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</si>
  <si>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</si>
  <si>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</si>
  <si>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</si>
  <si>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</si>
  <si>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</si>
  <si>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</si>
  <si>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</si>
  <si>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</si>
  <si>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</si>
  <si>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</si>
  <si>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</si>
  <si>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</si>
  <si>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</si>
  <si>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</si>
  <si>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</si>
  <si>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</si>
  <si>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</si>
  <si>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</si>
  <si>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</si>
  <si>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</si>
  <si>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</si>
  <si>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</si>
  <si>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</si>
  <si>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</si>
  <si>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</si>
  <si>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</si>
  <si>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</si>
  <si>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</si>
  <si>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</si>
  <si>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</si>
  <si>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</si>
  <si>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</si>
  <si>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</si>
  <si>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</si>
  <si>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</si>
  <si>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</si>
  <si>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</si>
  <si>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</si>
  <si>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</si>
  <si>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</si>
  <si>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</si>
  <si>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</si>
  <si>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</si>
  <si>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</si>
  <si>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</si>
  <si>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</si>
  <si>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</si>
  <si>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</si>
  <si>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</si>
  <si>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</si>
  <si>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</si>
  <si>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</si>
  <si>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</si>
  <si>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</si>
  <si>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</si>
  <si>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</si>
  <si>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</si>
  <si>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</si>
  <si>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</si>
  <si>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</si>
  <si>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</si>
  <si>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</si>
  <si>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</si>
  <si>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</si>
  <si>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</si>
  <si>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</si>
  <si>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</si>
  <si>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</si>
  <si>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</si>
  <si>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</si>
  <si>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</si>
  <si>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</si>
  <si>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</si>
  <si>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</si>
  <si>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</si>
  <si>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</si>
  <si>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</si>
  <si>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</si>
  <si>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</si>
  <si>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</si>
  <si>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</si>
  <si>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</si>
  <si>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</si>
  <si>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</si>
  <si>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</si>
  <si>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</si>
  <si>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</si>
  <si>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</si>
  <si>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</si>
  <si>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</si>
  <si>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</si>
  <si>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</si>
  <si>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</si>
  <si>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</si>
  <si>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</si>
  <si>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</si>
  <si>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</si>
  <si>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</si>
  <si>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</si>
  <si>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</si>
  <si>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</si>
  <si>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</si>
  <si>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</si>
  <si>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</si>
  <si>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</si>
  <si>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</si>
  <si>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</si>
  <si>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</si>
  <si>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</si>
  <si>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</si>
  <si>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</si>
  <si>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</si>
  <si>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</si>
  <si>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</si>
  <si>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</si>
  <si>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</si>
  <si>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</si>
  <si>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</si>
  <si>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</si>
  <si>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</si>
  <si>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</si>
  <si>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</si>
  <si>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</si>
  <si>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</si>
  <si>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</si>
  <si>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</si>
  <si>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</si>
  <si>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</si>
  <si>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</si>
  <si>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</si>
  <si>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</si>
  <si>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</si>
  <si>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</si>
  <si>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</si>
  <si>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</si>
  <si>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</si>
  <si>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</si>
  <si>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</si>
  <si>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</si>
  <si>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</si>
  <si>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</si>
  <si>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</si>
  <si>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</si>
  <si>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</si>
  <si>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</si>
  <si>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</si>
  <si>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</si>
  <si>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</si>
  <si>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</si>
  <si>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</si>
  <si>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</si>
  <si>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</si>
  <si>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</si>
  <si>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</si>
  <si>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</si>
  <si>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</si>
  <si>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</si>
  <si>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</si>
  <si>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</si>
  <si>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</si>
  <si>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</si>
  <si>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</si>
  <si>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</si>
  <si>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</si>
  <si>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</si>
  <si>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</si>
  <si>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</si>
  <si>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</si>
  <si>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</si>
  <si>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</si>
  <si>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</si>
  <si>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</si>
  <si>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</si>
  <si>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</si>
  <si>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</si>
  <si>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</si>
  <si>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</si>
  <si>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</si>
  <si>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</si>
  <si>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</si>
  <si>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</si>
  <si>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</si>
  <si>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</si>
  <si>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</si>
  <si>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</si>
  <si>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</si>
  <si>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</si>
  <si>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</si>
  <si>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</si>
  <si>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</si>
  <si>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</si>
  <si>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</si>
  <si>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</si>
  <si>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</si>
  <si>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</si>
  <si>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</si>
  <si>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</si>
  <si>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</si>
  <si>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</si>
  <si>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</si>
  <si>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</si>
  <si>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</si>
  <si>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</si>
  <si>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</si>
  <si>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</si>
  <si>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</si>
  <si>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</si>
  <si>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</si>
  <si>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</si>
  <si>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</si>
  <si>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</si>
  <si>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</si>
  <si>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</si>
  <si>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</si>
  <si>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</si>
  <si>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</si>
  <si>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</si>
  <si>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</si>
  <si>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</si>
  <si>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</si>
  <si>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</si>
  <si>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</si>
  <si>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</si>
  <si>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</si>
  <si>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</si>
  <si>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</si>
  <si>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</si>
  <si>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</si>
  <si>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</si>
  <si>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</si>
  <si>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</si>
  <si>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</si>
  <si>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</si>
  <si>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</si>
  <si>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</si>
  <si>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</si>
  <si>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</si>
  <si>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</si>
  <si>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</si>
  <si>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</si>
  <si>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</si>
  <si>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</si>
  <si>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</si>
  <si>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</si>
  <si>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</si>
  <si>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</si>
  <si>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</si>
  <si>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</si>
  <si>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</si>
  <si>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</si>
  <si>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</si>
  <si>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</si>
  <si>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</si>
  <si>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</si>
  <si>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</si>
  <si>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</si>
  <si>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</si>
  <si>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</si>
  <si>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</si>
  <si>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</si>
  <si>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</si>
  <si>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</si>
  <si>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</si>
  <si>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</si>
  <si>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</si>
  <si>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</si>
  <si>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</si>
  <si>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</si>
  <si>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</si>
  <si>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</si>
  <si>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</si>
  <si>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</si>
  <si>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</si>
  <si>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</si>
  <si>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</si>
  <si>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</si>
  <si>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</si>
  <si>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</si>
  <si>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</si>
  <si>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</si>
  <si>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</si>
  <si>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</si>
  <si>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</si>
  <si>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</si>
  <si>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</si>
  <si>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</si>
  <si>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</si>
  <si>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</si>
  <si>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</si>
  <si>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</si>
  <si>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</si>
  <si>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</si>
  <si>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</si>
  <si>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</si>
  <si>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</si>
  <si>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</si>
  <si>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</si>
  <si>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</si>
  <si>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</si>
  <si>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</si>
  <si>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</si>
  <si>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</si>
  <si>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</si>
  <si>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</si>
  <si>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</si>
  <si>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</si>
  <si>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</si>
  <si>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</si>
  <si>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</si>
  <si>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</si>
  <si>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</si>
  <si>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</si>
  <si>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</si>
  <si>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</si>
  <si>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</si>
  <si>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</si>
  <si>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</si>
  <si>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</si>
  <si>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</si>
  <si>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</si>
  <si>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</si>
  <si>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</si>
  <si>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</si>
  <si>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</si>
  <si>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</si>
  <si>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</si>
  <si>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</si>
  <si>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</si>
  <si>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</si>
  <si>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</si>
  <si>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</si>
  <si>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</si>
  <si>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</si>
  <si>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</si>
  <si>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</si>
  <si>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</si>
  <si>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</si>
  <si>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</si>
  <si>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</si>
  <si>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</si>
  <si>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</si>
  <si>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</si>
  <si>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</si>
  <si>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</si>
  <si>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</si>
  <si>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</si>
  <si>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</si>
  <si>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</si>
  <si>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</si>
  <si>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</si>
  <si>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</si>
  <si>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</si>
  <si>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</si>
  <si>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</si>
  <si>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</si>
  <si>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</si>
  <si>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</si>
  <si>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</si>
  <si>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</si>
  <si>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</si>
  <si>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</si>
  <si>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</si>
  <si>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</si>
  <si>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</si>
  <si>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</si>
  <si>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</si>
  <si>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</si>
  <si>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</si>
  <si>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</si>
  <si>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</si>
  <si>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</si>
  <si>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</si>
  <si>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</si>
  <si>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</si>
  <si>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</si>
  <si>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</si>
  <si>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</si>
  <si>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</si>
  <si>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</si>
  <si>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</si>
  <si>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</si>
  <si>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</si>
  <si>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</si>
  <si>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</si>
  <si>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</si>
  <si>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</si>
  <si>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</si>
  <si>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</si>
  <si>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</si>
  <si>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</si>
  <si>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</si>
  <si>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</si>
  <si>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</si>
  <si>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</si>
  <si>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</si>
  <si>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</si>
  <si>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</si>
  <si>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</si>
  <si>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</si>
  <si>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</si>
  <si>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</si>
  <si>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</si>
  <si>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</si>
  <si>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</si>
  <si>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</si>
  <si>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</si>
  <si>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</si>
  <si>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</si>
  <si>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</si>
  <si>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</si>
  <si>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</si>
  <si>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</si>
  <si>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</si>
  <si>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</si>
  <si>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</si>
  <si>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</si>
  <si>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</si>
  <si>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</si>
  <si>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</si>
  <si>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</si>
  <si>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</si>
  <si>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</si>
  <si>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</si>
  <si>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</si>
  <si>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</si>
  <si>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</si>
  <si>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</si>
  <si>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</si>
  <si>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</si>
  <si>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</si>
  <si>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</si>
  <si>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</si>
  <si>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</si>
  <si>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</si>
  <si>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</si>
  <si>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</si>
  <si>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</si>
  <si>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</si>
  <si>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</si>
  <si>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</si>
  <si>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</si>
  <si>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</si>
  <si>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</si>
  <si>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</si>
  <si>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</si>
  <si>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</si>
  <si>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</si>
  <si>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</si>
  <si>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</si>
  <si>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</si>
  <si>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</si>
  <si>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</si>
  <si>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</si>
  <si>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</si>
  <si>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</si>
  <si>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</si>
  <si>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</si>
  <si>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</si>
  <si>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</si>
  <si>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</si>
  <si>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</si>
  <si>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</si>
  <si>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</si>
  <si>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</si>
  <si>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</si>
  <si>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</si>
  <si>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</si>
  <si>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</si>
  <si>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</si>
  <si>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</si>
  <si>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</si>
  <si>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</si>
  <si>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</si>
  <si>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</si>
  <si>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</si>
  <si>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</si>
  <si>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</si>
  <si>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</si>
  <si>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</si>
  <si>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</si>
  <si>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</si>
  <si>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</si>
  <si>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</si>
  <si>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</si>
  <si>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</si>
  <si>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</si>
  <si>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</si>
  <si>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</si>
  <si>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</si>
  <si>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</si>
  <si>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</si>
  <si>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</si>
  <si>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</si>
  <si>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</si>
  <si>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</si>
  <si>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</si>
  <si>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</si>
  <si>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</si>
  <si>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</si>
  <si>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</si>
  <si>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</si>
  <si>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</si>
  <si>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</si>
  <si>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</si>
  <si>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</si>
  <si>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</si>
  <si>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</si>
  <si>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</si>
  <si>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</si>
  <si>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</si>
  <si>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</si>
  <si>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</si>
  <si>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</si>
  <si>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</si>
  <si>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</si>
  <si>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</si>
  <si>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</si>
  <si>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</si>
  <si>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</si>
  <si>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</si>
  <si>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</si>
  <si>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</si>
  <si>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</si>
  <si>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</si>
  <si>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</si>
  <si>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</si>
  <si>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</si>
  <si>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</si>
  <si>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</si>
  <si>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</si>
  <si>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</si>
  <si>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</si>
  <si>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</si>
  <si>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</si>
  <si>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</si>
  <si>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</si>
  <si>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</si>
  <si>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</si>
  <si>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</si>
  <si>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</si>
  <si>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</si>
  <si>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</si>
  <si>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</si>
  <si>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</si>
  <si>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</si>
  <si>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</si>
  <si>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</si>
  <si>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</si>
  <si>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</si>
  <si>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</si>
  <si>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</si>
  <si>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</si>
  <si>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</si>
  <si>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</si>
  <si>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</si>
  <si>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</si>
  <si>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</si>
  <si>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</si>
  <si>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</si>
  <si>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</si>
  <si>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</si>
  <si>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</si>
  <si>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</si>
  <si>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</si>
  <si>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</si>
  <si>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</si>
  <si>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</si>
  <si>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</si>
  <si>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</si>
  <si>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</si>
  <si>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</si>
  <si>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</si>
  <si>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</si>
  <si>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</si>
  <si>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</si>
  <si>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</si>
  <si>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</si>
  <si>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</si>
  <si>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</si>
  <si>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</si>
  <si>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 JUVENTUD DE LEON GUANAJUATO</t>
  </si>
  <si>
    <t>Al 31 de diciembre de 2021 y al 31 de diciembre de 2022 (b)</t>
  </si>
  <si>
    <t>Del 1 de enero al 31 de diciembre de 2022 (b)</t>
  </si>
  <si>
    <t>5052 lnstituto Municipal de la Juventud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</si>
</sst>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4" workbookViewId="0">
      <selection activeCell="C60" sqref="C6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2022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47283526.803300001</v>
      </c>
      <c r="C8" s="40">
        <f>SUM(C9:C11)</f>
        <v>48487802.07</v>
      </c>
      <c r="D8" s="40">
        <f>SUM(D9:D11)</f>
        <v>48487802.07</v>
      </c>
    </row>
    <row r="9" spans="1:11" x14ac:dyDescent="0.25">
      <c r="A9" s="53" t="s">
        <v>169</v>
      </c>
      <c r="B9" s="23">
        <v>47283526.803300001</v>
      </c>
      <c r="C9" s="23">
        <v>48487802.07</v>
      </c>
      <c r="D9" s="23">
        <v>48487802.07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f t="shared" ref="C11" si="0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47283526.803300001</v>
      </c>
      <c r="C13" s="40">
        <f t="shared" ref="C13:D13" si="1">C14+C15</f>
        <v>43446471.07</v>
      </c>
      <c r="D13" s="40">
        <f t="shared" si="1"/>
        <v>42855391.899999999</v>
      </c>
    </row>
    <row r="14" spans="1:11" x14ac:dyDescent="0.25">
      <c r="A14" s="53" t="s">
        <v>172</v>
      </c>
      <c r="B14" s="23">
        <v>47283526.803300001</v>
      </c>
      <c r="C14" s="23">
        <v>43446471.07</v>
      </c>
      <c r="D14" s="23">
        <v>42855391.899999999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5041331</v>
      </c>
      <c r="D21" s="40">
        <f>D8-D13+D17</f>
        <v>5632410.1700000018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5041331</v>
      </c>
      <c r="D23" s="40">
        <f>D21-D11</f>
        <v>5632410.1700000018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5041331</v>
      </c>
      <c r="D25" s="40">
        <f>D23-D17</f>
        <v>5632410.1700000018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3">C30+C31</f>
        <v>0</v>
      </c>
      <c r="D29" s="61">
        <f t="shared" si="3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4">C25+C29</f>
        <v>5041331</v>
      </c>
      <c r="D33" s="61">
        <f t="shared" si="4"/>
        <v>5632410.1700000018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5">C38+C39</f>
        <v>0</v>
      </c>
      <c r="D37" s="61">
        <f t="shared" si="5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6">C41+C42</f>
        <v>0</v>
      </c>
      <c r="D40" s="61">
        <f t="shared" si="6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7">C37-C40</f>
        <v>0</v>
      </c>
      <c r="D44" s="61">
        <f t="shared" si="7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47283526.803300001</v>
      </c>
      <c r="C48" s="124">
        <f>C9</f>
        <v>48487802.07</v>
      </c>
      <c r="D48" s="124">
        <f>D9</f>
        <v>48487802.07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8">C50-C51</f>
        <v>0</v>
      </c>
      <c r="D49" s="61">
        <f t="shared" si="8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47283526.803300001</v>
      </c>
      <c r="C53" s="60">
        <f>C14</f>
        <v>43446471.07</v>
      </c>
      <c r="D53" s="60">
        <f>D14</f>
        <v>42855391.899999999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9">C18</f>
        <v>0</v>
      </c>
      <c r="D55" s="60">
        <f t="shared" si="9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5041331</v>
      </c>
      <c r="D57" s="61">
        <f>D48+D49-D53+D55</f>
        <v>5632410.1700000018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5041331</v>
      </c>
      <c r="D59" s="61">
        <f>D57-D49</f>
        <v>5632410.1700000018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0">C10</f>
        <v>0</v>
      </c>
      <c r="D63" s="122">
        <f t="shared" si="10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1">C65-C66</f>
        <v>0</v>
      </c>
      <c r="D64" s="40">
        <f t="shared" si="11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2">C15</f>
        <v>0</v>
      </c>
      <c r="D68" s="23">
        <f t="shared" si="12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3">C19</f>
        <v>0</v>
      </c>
      <c r="D70" s="23">
        <f t="shared" si="13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4">C63+C64-C68+C70</f>
        <v>0</v>
      </c>
      <c r="D72" s="40">
        <f t="shared" si="14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5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47283526.803300001</v>
      </c>
      <c r="Q2" s="18">
        <f>'Formato 4'!C8</f>
        <v>48487802.07</v>
      </c>
      <c r="R2" s="18">
        <f>'Formato 4'!D8</f>
        <v>48487802.07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47283526.803300001</v>
      </c>
      <c r="Q3" s="18">
        <f>'Formato 4'!C9</f>
        <v>48487802.07</v>
      </c>
      <c r="R3" s="18">
        <f>'Formato 4'!D9</f>
        <v>48487802.07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47283526.803300001</v>
      </c>
      <c r="Q6" s="18">
        <f>'Formato 4'!C13</f>
        <v>43446471.07</v>
      </c>
      <c r="R6" s="18">
        <f>'Formato 4'!D13</f>
        <v>42855391.899999999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47283526.803300001</v>
      </c>
      <c r="Q7" s="18">
        <f>'Formato 4'!C14</f>
        <v>43446471.07</v>
      </c>
      <c r="R7" s="18">
        <f>'Formato 4'!D14</f>
        <v>42855391.899999999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5041331</v>
      </c>
      <c r="R12" s="18">
        <f>'Formato 4'!D21</f>
        <v>5632410.1700000018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5041331</v>
      </c>
      <c r="R13" s="18">
        <f>'Formato 4'!D23</f>
        <v>5632410.1700000018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5041331</v>
      </c>
      <c r="R14" s="18">
        <f>'Formato 4'!D25</f>
        <v>5632410.1700000018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5041331</v>
      </c>
      <c r="R18">
        <f>'Formato 4'!D33</f>
        <v>5632410.1700000018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47283526.803300001</v>
      </c>
      <c r="Q26">
        <f>'Formato 4'!C48</f>
        <v>48487802.07</v>
      </c>
      <c r="R26">
        <f>'Formato 4'!D48</f>
        <v>48487802.07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47283526.803300001</v>
      </c>
      <c r="Q30">
        <f>'Formato 4'!C53</f>
        <v>43446471.07</v>
      </c>
      <c r="R30">
        <f>'Formato 4'!D53</f>
        <v>42855391.899999999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41" sqref="B41:G4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2022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135736.82</v>
      </c>
      <c r="D13" s="60">
        <v>135736.82</v>
      </c>
      <c r="E13" s="60">
        <v>383830.89</v>
      </c>
      <c r="F13" s="60">
        <v>383830.89</v>
      </c>
      <c r="G13" s="60">
        <f>F13-B13</f>
        <v>383830.89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2401.38</v>
      </c>
      <c r="F15" s="60">
        <v>2401.38</v>
      </c>
      <c r="G15" s="60">
        <f t="shared" si="0"/>
        <v>2401.38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ref="G32:G33" si="4">F32-B32</f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47283526.803300001</v>
      </c>
      <c r="C34" s="60">
        <v>818043</v>
      </c>
      <c r="D34" s="60">
        <v>48101569.803300001</v>
      </c>
      <c r="E34" s="60">
        <v>48101569.799999997</v>
      </c>
      <c r="F34" s="60">
        <v>48101569.799999997</v>
      </c>
      <c r="G34" s="60">
        <f>F34-B34</f>
        <v>818042.99669999629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>C38+C39</f>
        <v>0</v>
      </c>
      <c r="D37" s="60">
        <f>D38+D39</f>
        <v>0</v>
      </c>
      <c r="E37" s="60">
        <v>0</v>
      </c>
      <c r="F37" s="60">
        <v>0</v>
      </c>
      <c r="G37" s="60">
        <f>F37-B37</f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47283526.803300001</v>
      </c>
      <c r="C41" s="61">
        <f t="shared" ref="C41:G41" si="6">SUM(C9,C10,C11,C12,C13,C14,C15,C16,C28,C34,C35,C37)</f>
        <v>953779.82000000007</v>
      </c>
      <c r="D41" s="61">
        <f t="shared" si="6"/>
        <v>48237306.623300001</v>
      </c>
      <c r="E41" s="61">
        <f t="shared" si="6"/>
        <v>48487802.07</v>
      </c>
      <c r="F41" s="61">
        <f t="shared" si="6"/>
        <v>48487802.07</v>
      </c>
      <c r="G41" s="61">
        <f t="shared" si="6"/>
        <v>1204275.2666999963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1204275.2666999963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47283526.803300001</v>
      </c>
      <c r="C70" s="61">
        <f t="shared" ref="C70:G70" si="14">C41+C65+C67</f>
        <v>953779.82000000007</v>
      </c>
      <c r="D70" s="61">
        <f t="shared" si="14"/>
        <v>48237306.623300001</v>
      </c>
      <c r="E70" s="61">
        <f t="shared" si="14"/>
        <v>48487802.07</v>
      </c>
      <c r="F70" s="61">
        <f t="shared" si="14"/>
        <v>48487802.07</v>
      </c>
      <c r="G70" s="61">
        <f t="shared" si="14"/>
        <v>1204275.2666999963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135736.82</v>
      </c>
      <c r="R7" s="18">
        <f>'Formato 5'!D13</f>
        <v>135736.82</v>
      </c>
      <c r="S7" s="18">
        <f>'Formato 5'!E13</f>
        <v>383830.89</v>
      </c>
      <c r="T7" s="18">
        <f>'Formato 5'!F13</f>
        <v>383830.89</v>
      </c>
      <c r="U7" s="18">
        <f>'Formato 5'!G13</f>
        <v>383830.89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2401.38</v>
      </c>
      <c r="T9" s="18">
        <f>'Formato 5'!F15</f>
        <v>2401.38</v>
      </c>
      <c r="U9" s="18">
        <f>'Formato 5'!G15</f>
        <v>2401.38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47283526.803300001</v>
      </c>
      <c r="Q28" s="18">
        <f>'Formato 5'!C34</f>
        <v>818043</v>
      </c>
      <c r="R28" s="18">
        <f>'Formato 5'!D34</f>
        <v>48101569.803300001</v>
      </c>
      <c r="S28" s="18">
        <f>'Formato 5'!E34</f>
        <v>48101569.799999997</v>
      </c>
      <c r="T28" s="18">
        <f>'Formato 5'!F34</f>
        <v>48101569.799999997</v>
      </c>
      <c r="U28" s="18">
        <f>'Formato 5'!G34</f>
        <v>818042.99669999629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47283526.803300001</v>
      </c>
      <c r="Q34">
        <f>'Formato 5'!C41</f>
        <v>953779.82000000007</v>
      </c>
      <c r="R34">
        <f>'Formato 5'!D41</f>
        <v>48237306.623300001</v>
      </c>
      <c r="S34">
        <f>'Formato 5'!E41</f>
        <v>48487802.07</v>
      </c>
      <c r="T34">
        <f>'Formato 5'!F41</f>
        <v>48487802.07</v>
      </c>
      <c r="U34">
        <f>'Formato 5'!G41</f>
        <v>1204275.2666999963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1204275.2666999963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3" zoomScaleNormal="93" zoomScalePageLayoutView="90" workbookViewId="0">
      <selection activeCell="G10" sqref="G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2022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47283526.803300001</v>
      </c>
      <c r="C9" s="79">
        <f t="shared" ref="C9:E9" si="0">SUM(C10,C18,C28,C38,C48,C58,C62,C71,C75)</f>
        <v>953779.81999999972</v>
      </c>
      <c r="D9" s="79">
        <f t="shared" si="0"/>
        <v>48237306.623300001</v>
      </c>
      <c r="E9" s="79">
        <f t="shared" si="0"/>
        <v>43446471.07</v>
      </c>
      <c r="F9" s="79">
        <f>SUM(F10,F18,F28,F38,F48,F58,F62,F71,F75)</f>
        <v>42855391.899999999</v>
      </c>
      <c r="G9" s="79">
        <f>SUM(G10,G18,G28,G38,G48,G58,G62,G71,G75)</f>
        <v>4790835.5533000017</v>
      </c>
    </row>
    <row r="10" spans="1:7" x14ac:dyDescent="0.25">
      <c r="A10" s="83" t="s">
        <v>286</v>
      </c>
      <c r="B10" s="80">
        <f>SUM(B11:B17)</f>
        <v>31868710</v>
      </c>
      <c r="C10" s="80">
        <f>SUM(C11:C17)</f>
        <v>0</v>
      </c>
      <c r="D10" s="80">
        <f>SUM(D11:D17)</f>
        <v>31868710.000000004</v>
      </c>
      <c r="E10" s="80">
        <f>SUM(E11:E17)</f>
        <v>28105235.09</v>
      </c>
      <c r="F10" s="80">
        <f>SUM(F11:F17)</f>
        <v>27568703.919999998</v>
      </c>
      <c r="G10" s="80">
        <f t="shared" ref="G10" si="1">SUM(G11:G17)</f>
        <v>3763474.9100000006</v>
      </c>
    </row>
    <row r="11" spans="1:7" x14ac:dyDescent="0.25">
      <c r="A11" s="84" t="s">
        <v>287</v>
      </c>
      <c r="B11" s="80">
        <v>18788251.890000001</v>
      </c>
      <c r="C11" s="80">
        <v>-750000</v>
      </c>
      <c r="D11" s="80">
        <v>18038251.890000001</v>
      </c>
      <c r="E11" s="80">
        <v>16229624.91</v>
      </c>
      <c r="F11" s="80">
        <v>16229624.91</v>
      </c>
      <c r="G11" s="80">
        <f>D11-E11</f>
        <v>1808626.9800000004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3595310.63</v>
      </c>
      <c r="C13" s="80">
        <v>301713.87</v>
      </c>
      <c r="D13" s="80">
        <v>3897024.5</v>
      </c>
      <c r="E13" s="80">
        <v>3298476.1400000011</v>
      </c>
      <c r="F13" s="80">
        <v>3298476.1400000011</v>
      </c>
      <c r="G13" s="80">
        <f>D13-E13</f>
        <v>598548.35999999894</v>
      </c>
    </row>
    <row r="14" spans="1:7" x14ac:dyDescent="0.25">
      <c r="A14" s="84" t="s">
        <v>290</v>
      </c>
      <c r="B14" s="80">
        <v>4567860.5600000005</v>
      </c>
      <c r="C14" s="80">
        <v>0</v>
      </c>
      <c r="D14" s="80">
        <v>4567860.5600000005</v>
      </c>
      <c r="E14" s="80">
        <v>3977272.12</v>
      </c>
      <c r="F14" s="80">
        <v>3440740.95</v>
      </c>
      <c r="G14" s="80">
        <f>D14-E14</f>
        <v>590588.44000000041</v>
      </c>
    </row>
    <row r="15" spans="1:7" x14ac:dyDescent="0.25">
      <c r="A15" s="84" t="s">
        <v>291</v>
      </c>
      <c r="B15" s="80">
        <v>4917286.92</v>
      </c>
      <c r="C15" s="80">
        <v>448286.13</v>
      </c>
      <c r="D15" s="80">
        <v>5365573.05</v>
      </c>
      <c r="E15" s="80">
        <v>4599861.919999999</v>
      </c>
      <c r="F15" s="80">
        <v>4599861.919999999</v>
      </c>
      <c r="G15" s="80">
        <f t="shared" ref="G15:G17" si="2">D15-E15</f>
        <v>765711.13000000082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1603386.9988000002</v>
      </c>
      <c r="C18" s="80">
        <f t="shared" si="3"/>
        <v>524799.99999999988</v>
      </c>
      <c r="D18" s="80">
        <f t="shared" si="3"/>
        <v>2128186.9988000002</v>
      </c>
      <c r="E18" s="80">
        <f t="shared" si="3"/>
        <v>1980653.5799999998</v>
      </c>
      <c r="F18" s="80">
        <f t="shared" si="3"/>
        <v>1980653.5799999998</v>
      </c>
      <c r="G18" s="80">
        <f t="shared" si="3"/>
        <v>147533.4187999999</v>
      </c>
    </row>
    <row r="19" spans="1:7" x14ac:dyDescent="0.25">
      <c r="A19" s="84" t="s">
        <v>295</v>
      </c>
      <c r="B19" s="80">
        <v>656208.36</v>
      </c>
      <c r="C19" s="80">
        <v>32003.149999999994</v>
      </c>
      <c r="D19" s="80">
        <v>688211.51</v>
      </c>
      <c r="E19" s="80">
        <v>581453.78999999992</v>
      </c>
      <c r="F19" s="80">
        <v>581453.78999999992</v>
      </c>
      <c r="G19" s="80">
        <f>D19-E19</f>
        <v>106757.72000000009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221524.03879999998</v>
      </c>
      <c r="C22" s="80">
        <v>539056.90999999992</v>
      </c>
      <c r="D22" s="80">
        <v>760580.9487999999</v>
      </c>
      <c r="E22" s="80">
        <v>744013.51</v>
      </c>
      <c r="F22" s="80">
        <v>744013.51</v>
      </c>
      <c r="G22" s="80">
        <f t="shared" si="4"/>
        <v>16567.438799999887</v>
      </c>
    </row>
    <row r="23" spans="1:7" x14ac:dyDescent="0.25">
      <c r="A23" s="84" t="s">
        <v>299</v>
      </c>
      <c r="B23" s="80">
        <v>0</v>
      </c>
      <c r="C23" s="80">
        <v>355</v>
      </c>
      <c r="D23" s="80">
        <v>355</v>
      </c>
      <c r="E23" s="80">
        <v>355</v>
      </c>
      <c r="F23" s="80">
        <v>355</v>
      </c>
      <c r="G23" s="80">
        <f t="shared" si="4"/>
        <v>0</v>
      </c>
    </row>
    <row r="24" spans="1:7" x14ac:dyDescent="0.25">
      <c r="A24" s="84" t="s">
        <v>300</v>
      </c>
      <c r="B24" s="80">
        <v>522000</v>
      </c>
      <c r="C24" s="80">
        <v>-89288.16</v>
      </c>
      <c r="D24" s="80">
        <v>432711.83999999997</v>
      </c>
      <c r="E24" s="80">
        <v>424690.81000000006</v>
      </c>
      <c r="F24" s="80">
        <v>424690.81000000006</v>
      </c>
      <c r="G24" s="80">
        <f t="shared" si="4"/>
        <v>8021.0299999999115</v>
      </c>
    </row>
    <row r="25" spans="1:7" x14ac:dyDescent="0.25">
      <c r="A25" s="84" t="s">
        <v>301</v>
      </c>
      <c r="B25" s="80">
        <v>60074</v>
      </c>
      <c r="C25" s="80">
        <v>36800</v>
      </c>
      <c r="D25" s="80">
        <v>96874</v>
      </c>
      <c r="E25" s="80">
        <v>93012.78</v>
      </c>
      <c r="F25" s="80">
        <v>93012.78</v>
      </c>
      <c r="G25" s="80">
        <f t="shared" si="4"/>
        <v>3861.2200000000012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143580.59999999998</v>
      </c>
      <c r="C27" s="80">
        <v>5873.0999999999985</v>
      </c>
      <c r="D27" s="80">
        <v>149453.69999999998</v>
      </c>
      <c r="E27" s="80">
        <v>137127.68999999997</v>
      </c>
      <c r="F27" s="80">
        <v>137127.68999999997</v>
      </c>
      <c r="G27" s="80">
        <f t="shared" si="4"/>
        <v>12326.010000000009</v>
      </c>
    </row>
    <row r="28" spans="1:7" x14ac:dyDescent="0.25">
      <c r="A28" s="83" t="s">
        <v>304</v>
      </c>
      <c r="B28" s="80">
        <f>SUM(B29:B37)</f>
        <v>13069108.804500001</v>
      </c>
      <c r="C28" s="80">
        <f t="shared" ref="C28:G28" si="5">SUM(C29:C37)</f>
        <v>428979.81999999983</v>
      </c>
      <c r="D28" s="80">
        <f t="shared" si="5"/>
        <v>13498088.624500001</v>
      </c>
      <c r="E28" s="80">
        <f t="shared" si="5"/>
        <v>12644618.83</v>
      </c>
      <c r="F28" s="80">
        <f t="shared" si="5"/>
        <v>12590070.83</v>
      </c>
      <c r="G28" s="80">
        <f t="shared" si="5"/>
        <v>853469.79450000089</v>
      </c>
    </row>
    <row r="29" spans="1:7" x14ac:dyDescent="0.25">
      <c r="A29" s="84" t="s">
        <v>305</v>
      </c>
      <c r="B29" s="80">
        <v>369610.39999999997</v>
      </c>
      <c r="C29" s="80">
        <v>-15044.75</v>
      </c>
      <c r="D29" s="80">
        <v>354565.64999999997</v>
      </c>
      <c r="E29" s="80">
        <v>294946.60000000003</v>
      </c>
      <c r="F29" s="80">
        <v>294946.60000000003</v>
      </c>
      <c r="G29" s="80">
        <f>D29-E29</f>
        <v>59619.04999999993</v>
      </c>
    </row>
    <row r="30" spans="1:7" x14ac:dyDescent="0.25">
      <c r="A30" s="84" t="s">
        <v>306</v>
      </c>
      <c r="B30" s="80">
        <v>15659.999999999998</v>
      </c>
      <c r="C30" s="80">
        <v>5440.4</v>
      </c>
      <c r="D30" s="80">
        <v>21100.399999999998</v>
      </c>
      <c r="E30" s="80">
        <v>20408.22</v>
      </c>
      <c r="F30" s="80">
        <v>20408.22</v>
      </c>
      <c r="G30" s="80">
        <f t="shared" ref="G30:G37" si="6">D30-E30</f>
        <v>692.17999999999665</v>
      </c>
    </row>
    <row r="31" spans="1:7" x14ac:dyDescent="0.25">
      <c r="A31" s="84" t="s">
        <v>307</v>
      </c>
      <c r="B31" s="80">
        <v>4206206</v>
      </c>
      <c r="C31" s="80">
        <v>-474060.26</v>
      </c>
      <c r="D31" s="80">
        <v>3732145.74</v>
      </c>
      <c r="E31" s="80">
        <v>3339016.86</v>
      </c>
      <c r="F31" s="80">
        <v>3339016.86</v>
      </c>
      <c r="G31" s="80">
        <f t="shared" si="6"/>
        <v>393128.88000000035</v>
      </c>
    </row>
    <row r="32" spans="1:7" x14ac:dyDescent="0.25">
      <c r="A32" s="84" t="s">
        <v>308</v>
      </c>
      <c r="B32" s="80">
        <v>235272.3345</v>
      </c>
      <c r="C32" s="80">
        <v>3455</v>
      </c>
      <c r="D32" s="80">
        <v>238727.3345</v>
      </c>
      <c r="E32" s="80">
        <v>230639.33000000002</v>
      </c>
      <c r="F32" s="80">
        <v>230639.33000000002</v>
      </c>
      <c r="G32" s="80">
        <f t="shared" si="6"/>
        <v>8088.0044999999809</v>
      </c>
    </row>
    <row r="33" spans="1:7" x14ac:dyDescent="0.25">
      <c r="A33" s="84" t="s">
        <v>309</v>
      </c>
      <c r="B33" s="80">
        <v>204685.03999999998</v>
      </c>
      <c r="C33" s="80">
        <v>367101.76</v>
      </c>
      <c r="D33" s="80">
        <v>571786.80000000005</v>
      </c>
      <c r="E33" s="80">
        <v>568422.80000000005</v>
      </c>
      <c r="F33" s="80">
        <v>568422.80000000005</v>
      </c>
      <c r="G33" s="80">
        <f t="shared" si="6"/>
        <v>3364</v>
      </c>
    </row>
    <row r="34" spans="1:7" x14ac:dyDescent="0.25">
      <c r="A34" s="84" t="s">
        <v>310</v>
      </c>
      <c r="B34" s="80">
        <v>482593.04</v>
      </c>
      <c r="C34" s="80">
        <v>-277613.71000000002</v>
      </c>
      <c r="D34" s="80">
        <v>204979.32999999996</v>
      </c>
      <c r="E34" s="80">
        <v>165849.84</v>
      </c>
      <c r="F34" s="80">
        <v>165849.84</v>
      </c>
      <c r="G34" s="80">
        <f t="shared" si="6"/>
        <v>39129.489999999962</v>
      </c>
    </row>
    <row r="35" spans="1:7" x14ac:dyDescent="0.25">
      <c r="A35" s="84" t="s">
        <v>311</v>
      </c>
      <c r="B35" s="80">
        <v>166566</v>
      </c>
      <c r="C35" s="80">
        <v>6222.81</v>
      </c>
      <c r="D35" s="80">
        <v>172788.81</v>
      </c>
      <c r="E35" s="80">
        <v>19661.169999999998</v>
      </c>
      <c r="F35" s="80">
        <v>19661.169999999998</v>
      </c>
      <c r="G35" s="80">
        <f t="shared" si="6"/>
        <v>153127.64000000001</v>
      </c>
    </row>
    <row r="36" spans="1:7" x14ac:dyDescent="0.25">
      <c r="A36" s="84" t="s">
        <v>312</v>
      </c>
      <c r="B36" s="80">
        <v>6627469.5700000003</v>
      </c>
      <c r="C36" s="80">
        <v>806778.56999999983</v>
      </c>
      <c r="D36" s="80">
        <v>7434248.1400000006</v>
      </c>
      <c r="E36" s="80">
        <v>7323957</v>
      </c>
      <c r="F36" s="80">
        <v>7323957</v>
      </c>
      <c r="G36" s="80">
        <f t="shared" si="6"/>
        <v>110291.1400000006</v>
      </c>
    </row>
    <row r="37" spans="1:7" x14ac:dyDescent="0.25">
      <c r="A37" s="84" t="s">
        <v>313</v>
      </c>
      <c r="B37" s="80">
        <v>761046.42</v>
      </c>
      <c r="C37" s="80">
        <v>6700</v>
      </c>
      <c r="D37" s="80">
        <v>767746.42</v>
      </c>
      <c r="E37" s="80">
        <v>681717.01</v>
      </c>
      <c r="F37" s="80">
        <v>627169.01</v>
      </c>
      <c r="G37" s="80">
        <f t="shared" si="6"/>
        <v>86029.410000000033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742321</v>
      </c>
      <c r="C48" s="80">
        <f t="shared" ref="C48:G48" si="9">SUM(C49:C57)</f>
        <v>0</v>
      </c>
      <c r="D48" s="80">
        <f t="shared" si="9"/>
        <v>742320.99999999988</v>
      </c>
      <c r="E48" s="80">
        <f t="shared" si="9"/>
        <v>715963.57</v>
      </c>
      <c r="F48" s="80">
        <f t="shared" si="9"/>
        <v>715963.57</v>
      </c>
      <c r="G48" s="80">
        <f t="shared" si="9"/>
        <v>26357.429999999946</v>
      </c>
    </row>
    <row r="49" spans="1:7" x14ac:dyDescent="0.25">
      <c r="A49" s="84" t="s">
        <v>325</v>
      </c>
      <c r="B49" s="80">
        <v>10000</v>
      </c>
      <c r="C49" s="80">
        <v>492549.35999999993</v>
      </c>
      <c r="D49" s="80">
        <v>502549.35999999993</v>
      </c>
      <c r="E49" s="80">
        <v>492548.44</v>
      </c>
      <c r="F49" s="80">
        <v>492548.44</v>
      </c>
      <c r="G49" s="80">
        <f>D49-E49</f>
        <v>10000.919999999925</v>
      </c>
    </row>
    <row r="50" spans="1:7" x14ac:dyDescent="0.25">
      <c r="A50" s="84" t="s">
        <v>326</v>
      </c>
      <c r="B50" s="80">
        <v>0</v>
      </c>
      <c r="C50" s="80">
        <v>15000</v>
      </c>
      <c r="D50" s="80">
        <v>15000</v>
      </c>
      <c r="E50" s="80">
        <v>10656</v>
      </c>
      <c r="F50" s="80">
        <v>10656</v>
      </c>
      <c r="G50" s="80">
        <f t="shared" ref="G50:G57" si="10">D50-E50</f>
        <v>4344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22321</v>
      </c>
      <c r="C54" s="80">
        <v>0</v>
      </c>
      <c r="D54" s="80">
        <v>22321</v>
      </c>
      <c r="E54" s="80">
        <v>21150.01</v>
      </c>
      <c r="F54" s="80">
        <v>21150.01</v>
      </c>
      <c r="G54" s="80">
        <f t="shared" si="10"/>
        <v>1170.9900000000016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710000</v>
      </c>
      <c r="C57" s="80">
        <v>-507549.36</v>
      </c>
      <c r="D57" s="80">
        <v>202450.64</v>
      </c>
      <c r="E57" s="80">
        <v>191609.12</v>
      </c>
      <c r="F57" s="80">
        <v>191609.12</v>
      </c>
      <c r="G57" s="80">
        <f t="shared" si="10"/>
        <v>10841.520000000019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47283526.803300001</v>
      </c>
      <c r="C159" s="79">
        <f t="shared" ref="C159:G159" si="38">C9+C84</f>
        <v>953779.81999999972</v>
      </c>
      <c r="D159" s="79">
        <f t="shared" si="38"/>
        <v>48237306.623300001</v>
      </c>
      <c r="E159" s="79">
        <f t="shared" si="38"/>
        <v>43446471.07</v>
      </c>
      <c r="F159" s="79">
        <f t="shared" si="38"/>
        <v>42855391.899999999</v>
      </c>
      <c r="G159" s="79">
        <f t="shared" si="38"/>
        <v>4790835.5533000017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47283526.803300001</v>
      </c>
      <c r="Q2" s="18">
        <f>'Formato 6 a)'!C9</f>
        <v>953779.81999999972</v>
      </c>
      <c r="R2" s="18">
        <f>'Formato 6 a)'!D9</f>
        <v>48237306.623300001</v>
      </c>
      <c r="S2" s="18">
        <f>'Formato 6 a)'!E9</f>
        <v>43446471.07</v>
      </c>
      <c r="T2" s="18">
        <f>'Formato 6 a)'!F9</f>
        <v>42855391.899999999</v>
      </c>
      <c r="U2" s="18">
        <f>'Formato 6 a)'!G9</f>
        <v>4790835.5533000017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31868710</v>
      </c>
      <c r="Q3" s="18">
        <f>'Formato 6 a)'!C10</f>
        <v>0</v>
      </c>
      <c r="R3" s="18">
        <f>'Formato 6 a)'!D10</f>
        <v>31868710.000000004</v>
      </c>
      <c r="S3" s="18">
        <f>'Formato 6 a)'!E10</f>
        <v>28105235.09</v>
      </c>
      <c r="T3" s="18">
        <f>'Formato 6 a)'!F10</f>
        <v>27568703.919999998</v>
      </c>
      <c r="U3" s="18">
        <f>'Formato 6 a)'!G10</f>
        <v>3763474.9100000006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18788251.890000001</v>
      </c>
      <c r="Q4" s="18">
        <f>'Formato 6 a)'!C11</f>
        <v>-750000</v>
      </c>
      <c r="R4" s="18">
        <f>'Formato 6 a)'!D11</f>
        <v>18038251.890000001</v>
      </c>
      <c r="S4" s="18">
        <f>'Formato 6 a)'!E11</f>
        <v>16229624.91</v>
      </c>
      <c r="T4" s="18">
        <f>'Formato 6 a)'!F11</f>
        <v>16229624.91</v>
      </c>
      <c r="U4" s="18">
        <f>'Formato 6 a)'!G11</f>
        <v>1808626.9800000004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3595310.63</v>
      </c>
      <c r="Q6" s="18">
        <f>'Formato 6 a)'!C13</f>
        <v>301713.87</v>
      </c>
      <c r="R6" s="18">
        <f>'Formato 6 a)'!D13</f>
        <v>3897024.5</v>
      </c>
      <c r="S6" s="18">
        <f>'Formato 6 a)'!E13</f>
        <v>3298476.1400000011</v>
      </c>
      <c r="T6" s="18">
        <f>'Formato 6 a)'!F13</f>
        <v>3298476.1400000011</v>
      </c>
      <c r="U6" s="18">
        <f>'Formato 6 a)'!G13</f>
        <v>598548.35999999894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4567860.5600000005</v>
      </c>
      <c r="Q7" s="18">
        <f>'Formato 6 a)'!C14</f>
        <v>0</v>
      </c>
      <c r="R7" s="18">
        <f>'Formato 6 a)'!D14</f>
        <v>4567860.5600000005</v>
      </c>
      <c r="S7" s="18">
        <f>'Formato 6 a)'!E14</f>
        <v>3977272.12</v>
      </c>
      <c r="T7" s="18">
        <f>'Formato 6 a)'!F14</f>
        <v>3440740.95</v>
      </c>
      <c r="U7" s="18">
        <f>'Formato 6 a)'!G14</f>
        <v>590588.44000000041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4917286.92</v>
      </c>
      <c r="Q8" s="18">
        <f>'Formato 6 a)'!C15</f>
        <v>448286.13</v>
      </c>
      <c r="R8" s="18">
        <f>'Formato 6 a)'!D15</f>
        <v>5365573.05</v>
      </c>
      <c r="S8" s="18">
        <f>'Formato 6 a)'!E15</f>
        <v>4599861.919999999</v>
      </c>
      <c r="T8" s="18">
        <f>'Formato 6 a)'!F15</f>
        <v>4599861.919999999</v>
      </c>
      <c r="U8" s="18">
        <f>'Formato 6 a)'!G15</f>
        <v>765711.13000000082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1603386.9988000002</v>
      </c>
      <c r="Q11" s="18">
        <f>'Formato 6 a)'!C18</f>
        <v>524799.99999999988</v>
      </c>
      <c r="R11" s="18">
        <f>'Formato 6 a)'!D18</f>
        <v>2128186.9988000002</v>
      </c>
      <c r="S11" s="18">
        <f>'Formato 6 a)'!E18</f>
        <v>1980653.5799999998</v>
      </c>
      <c r="T11" s="18">
        <f>'Formato 6 a)'!F18</f>
        <v>1980653.5799999998</v>
      </c>
      <c r="U11" s="18">
        <f>'Formato 6 a)'!G18</f>
        <v>147533.4187999999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656208.36</v>
      </c>
      <c r="Q12" s="18">
        <f>'Formato 6 a)'!C19</f>
        <v>32003.149999999994</v>
      </c>
      <c r="R12" s="18">
        <f>'Formato 6 a)'!D19</f>
        <v>688211.51</v>
      </c>
      <c r="S12" s="18">
        <f>'Formato 6 a)'!E19</f>
        <v>581453.78999999992</v>
      </c>
      <c r="T12" s="18">
        <f>'Formato 6 a)'!F19</f>
        <v>581453.78999999992</v>
      </c>
      <c r="U12" s="18">
        <f>'Formato 6 a)'!G19</f>
        <v>106757.72000000009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221524.03879999998</v>
      </c>
      <c r="Q15" s="18">
        <f>'Formato 6 a)'!C22</f>
        <v>539056.90999999992</v>
      </c>
      <c r="R15" s="18">
        <f>'Formato 6 a)'!D22</f>
        <v>760580.9487999999</v>
      </c>
      <c r="S15" s="18">
        <f>'Formato 6 a)'!E22</f>
        <v>744013.51</v>
      </c>
      <c r="T15" s="18">
        <f>'Formato 6 a)'!F22</f>
        <v>744013.51</v>
      </c>
      <c r="U15" s="18">
        <f>'Formato 6 a)'!G22</f>
        <v>16567.438799999887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355</v>
      </c>
      <c r="R16" s="18">
        <f>'Formato 6 a)'!D23</f>
        <v>355</v>
      </c>
      <c r="S16" s="18">
        <f>'Formato 6 a)'!E23</f>
        <v>355</v>
      </c>
      <c r="T16" s="18">
        <f>'Formato 6 a)'!F23</f>
        <v>355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522000</v>
      </c>
      <c r="Q17" s="18">
        <f>'Formato 6 a)'!C24</f>
        <v>-89288.16</v>
      </c>
      <c r="R17" s="18">
        <f>'Formato 6 a)'!D24</f>
        <v>432711.83999999997</v>
      </c>
      <c r="S17" s="18">
        <f>'Formato 6 a)'!E24</f>
        <v>424690.81000000006</v>
      </c>
      <c r="T17" s="18">
        <f>'Formato 6 a)'!F24</f>
        <v>424690.81000000006</v>
      </c>
      <c r="U17" s="18">
        <f>'Formato 6 a)'!G24</f>
        <v>8021.0299999999115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60074</v>
      </c>
      <c r="Q18" s="18">
        <f>'Formato 6 a)'!C25</f>
        <v>36800</v>
      </c>
      <c r="R18" s="18">
        <f>'Formato 6 a)'!D25</f>
        <v>96874</v>
      </c>
      <c r="S18" s="18">
        <f>'Formato 6 a)'!E25</f>
        <v>93012.78</v>
      </c>
      <c r="T18" s="18">
        <f>'Formato 6 a)'!F25</f>
        <v>93012.78</v>
      </c>
      <c r="U18" s="18">
        <f>'Formato 6 a)'!G25</f>
        <v>3861.2200000000012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143580.59999999998</v>
      </c>
      <c r="Q20" s="18">
        <f>'Formato 6 a)'!C27</f>
        <v>5873.0999999999985</v>
      </c>
      <c r="R20" s="18">
        <f>'Formato 6 a)'!D27</f>
        <v>149453.69999999998</v>
      </c>
      <c r="S20" s="18">
        <f>'Formato 6 a)'!E27</f>
        <v>137127.68999999997</v>
      </c>
      <c r="T20" s="18">
        <f>'Formato 6 a)'!F27</f>
        <v>137127.68999999997</v>
      </c>
      <c r="U20" s="18">
        <f>'Formato 6 a)'!G27</f>
        <v>12326.010000000009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13069108.804500001</v>
      </c>
      <c r="Q21" s="18">
        <f>'Formato 6 a)'!C28</f>
        <v>428979.81999999983</v>
      </c>
      <c r="R21" s="18">
        <f>'Formato 6 a)'!D28</f>
        <v>13498088.624500001</v>
      </c>
      <c r="S21" s="18">
        <f>'Formato 6 a)'!E28</f>
        <v>12644618.83</v>
      </c>
      <c r="T21" s="18">
        <f>'Formato 6 a)'!F28</f>
        <v>12590070.83</v>
      </c>
      <c r="U21" s="18">
        <f>'Formato 6 a)'!G28</f>
        <v>853469.79450000089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369610.39999999997</v>
      </c>
      <c r="Q22" s="18">
        <f>'Formato 6 a)'!C29</f>
        <v>-15044.75</v>
      </c>
      <c r="R22" s="18">
        <f>'Formato 6 a)'!D29</f>
        <v>354565.64999999997</v>
      </c>
      <c r="S22" s="18">
        <f>'Formato 6 a)'!E29</f>
        <v>294946.60000000003</v>
      </c>
      <c r="T22" s="18">
        <f>'Formato 6 a)'!F29</f>
        <v>294946.60000000003</v>
      </c>
      <c r="U22" s="18">
        <f>'Formato 6 a)'!G29</f>
        <v>59619.04999999993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15659.999999999998</v>
      </c>
      <c r="Q23" s="18">
        <f>'Formato 6 a)'!C30</f>
        <v>5440.4</v>
      </c>
      <c r="R23" s="18">
        <f>'Formato 6 a)'!D30</f>
        <v>21100.399999999998</v>
      </c>
      <c r="S23" s="18">
        <f>'Formato 6 a)'!E30</f>
        <v>20408.22</v>
      </c>
      <c r="T23" s="18">
        <f>'Formato 6 a)'!F30</f>
        <v>20408.22</v>
      </c>
      <c r="U23" s="18">
        <f>'Formato 6 a)'!G30</f>
        <v>692.17999999999665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4206206</v>
      </c>
      <c r="Q24" s="18">
        <f>'Formato 6 a)'!C31</f>
        <v>-474060.26</v>
      </c>
      <c r="R24" s="18">
        <f>'Formato 6 a)'!D31</f>
        <v>3732145.74</v>
      </c>
      <c r="S24" s="18">
        <f>'Formato 6 a)'!E31</f>
        <v>3339016.86</v>
      </c>
      <c r="T24" s="18">
        <f>'Formato 6 a)'!F31</f>
        <v>3339016.86</v>
      </c>
      <c r="U24" s="18">
        <f>'Formato 6 a)'!G31</f>
        <v>393128.88000000035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235272.3345</v>
      </c>
      <c r="Q25" s="18">
        <f>'Formato 6 a)'!C32</f>
        <v>3455</v>
      </c>
      <c r="R25" s="18">
        <f>'Formato 6 a)'!D32</f>
        <v>238727.3345</v>
      </c>
      <c r="S25" s="18">
        <f>'Formato 6 a)'!E32</f>
        <v>230639.33000000002</v>
      </c>
      <c r="T25" s="18">
        <f>'Formato 6 a)'!F32</f>
        <v>230639.33000000002</v>
      </c>
      <c r="U25" s="18">
        <f>'Formato 6 a)'!G32</f>
        <v>8088.0044999999809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204685.03999999998</v>
      </c>
      <c r="Q26" s="18">
        <f>'Formato 6 a)'!C33</f>
        <v>367101.76</v>
      </c>
      <c r="R26" s="18">
        <f>'Formato 6 a)'!D33</f>
        <v>571786.80000000005</v>
      </c>
      <c r="S26" s="18">
        <f>'Formato 6 a)'!E33</f>
        <v>568422.80000000005</v>
      </c>
      <c r="T26" s="18">
        <f>'Formato 6 a)'!F33</f>
        <v>568422.80000000005</v>
      </c>
      <c r="U26" s="18">
        <f>'Formato 6 a)'!G33</f>
        <v>3364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482593.04</v>
      </c>
      <c r="Q27" s="18">
        <f>'Formato 6 a)'!C34</f>
        <v>-277613.71000000002</v>
      </c>
      <c r="R27" s="18">
        <f>'Formato 6 a)'!D34</f>
        <v>204979.32999999996</v>
      </c>
      <c r="S27" s="18">
        <f>'Formato 6 a)'!E34</f>
        <v>165849.84</v>
      </c>
      <c r="T27" s="18">
        <f>'Formato 6 a)'!F34</f>
        <v>165849.84</v>
      </c>
      <c r="U27" s="18">
        <f>'Formato 6 a)'!G34</f>
        <v>39129.489999999962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166566</v>
      </c>
      <c r="Q28" s="18">
        <f>'Formato 6 a)'!C35</f>
        <v>6222.81</v>
      </c>
      <c r="R28" s="18">
        <f>'Formato 6 a)'!D35</f>
        <v>172788.81</v>
      </c>
      <c r="S28" s="18">
        <f>'Formato 6 a)'!E35</f>
        <v>19661.169999999998</v>
      </c>
      <c r="T28" s="18">
        <f>'Formato 6 a)'!F35</f>
        <v>19661.169999999998</v>
      </c>
      <c r="U28" s="18">
        <f>'Formato 6 a)'!G35</f>
        <v>153127.64000000001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6627469.5700000003</v>
      </c>
      <c r="Q29" s="18">
        <f>'Formato 6 a)'!C36</f>
        <v>806778.56999999983</v>
      </c>
      <c r="R29" s="18">
        <f>'Formato 6 a)'!D36</f>
        <v>7434248.1400000006</v>
      </c>
      <c r="S29" s="18">
        <f>'Formato 6 a)'!E36</f>
        <v>7323957</v>
      </c>
      <c r="T29" s="18">
        <f>'Formato 6 a)'!F36</f>
        <v>7323957</v>
      </c>
      <c r="U29" s="18">
        <f>'Formato 6 a)'!G36</f>
        <v>110291.1400000006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761046.42</v>
      </c>
      <c r="Q30" s="18">
        <f>'Formato 6 a)'!C37</f>
        <v>6700</v>
      </c>
      <c r="R30" s="18">
        <f>'Formato 6 a)'!D37</f>
        <v>767746.42</v>
      </c>
      <c r="S30" s="18">
        <f>'Formato 6 a)'!E37</f>
        <v>681717.01</v>
      </c>
      <c r="T30" s="18">
        <f>'Formato 6 a)'!F37</f>
        <v>627169.01</v>
      </c>
      <c r="U30" s="18">
        <f>'Formato 6 a)'!G37</f>
        <v>86029.410000000033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742321</v>
      </c>
      <c r="Q41" s="18">
        <f>'Formato 6 a)'!C48</f>
        <v>0</v>
      </c>
      <c r="R41" s="18">
        <f>'Formato 6 a)'!D48</f>
        <v>742320.99999999988</v>
      </c>
      <c r="S41" s="18">
        <f>'Formato 6 a)'!E48</f>
        <v>715963.57</v>
      </c>
      <c r="T41" s="18">
        <f>'Formato 6 a)'!F48</f>
        <v>715963.57</v>
      </c>
      <c r="U41" s="18">
        <f>'Formato 6 a)'!G48</f>
        <v>26357.429999999946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10000</v>
      </c>
      <c r="Q42" s="18">
        <f>'Formato 6 a)'!C49</f>
        <v>492549.35999999993</v>
      </c>
      <c r="R42" s="18">
        <f>'Formato 6 a)'!D49</f>
        <v>502549.35999999993</v>
      </c>
      <c r="S42" s="18">
        <f>'Formato 6 a)'!E49</f>
        <v>492548.44</v>
      </c>
      <c r="T42" s="18">
        <f>'Formato 6 a)'!F49</f>
        <v>492548.44</v>
      </c>
      <c r="U42" s="18">
        <f>'Formato 6 a)'!G49</f>
        <v>10000.919999999925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15000</v>
      </c>
      <c r="R43" s="18">
        <f>'Formato 6 a)'!D50</f>
        <v>15000</v>
      </c>
      <c r="S43" s="18">
        <f>'Formato 6 a)'!E50</f>
        <v>10656</v>
      </c>
      <c r="T43" s="18">
        <f>'Formato 6 a)'!F50</f>
        <v>10656</v>
      </c>
      <c r="U43" s="18">
        <f>'Formato 6 a)'!G50</f>
        <v>4344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22321</v>
      </c>
      <c r="Q47" s="18">
        <f>'Formato 6 a)'!C54</f>
        <v>0</v>
      </c>
      <c r="R47" s="18">
        <f>'Formato 6 a)'!D54</f>
        <v>22321</v>
      </c>
      <c r="S47" s="18">
        <f>'Formato 6 a)'!E54</f>
        <v>21150.01</v>
      </c>
      <c r="T47" s="18">
        <f>'Formato 6 a)'!F54</f>
        <v>21150.01</v>
      </c>
      <c r="U47" s="18">
        <f>'Formato 6 a)'!G54</f>
        <v>1170.9900000000016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710000</v>
      </c>
      <c r="Q50" s="18">
        <f>'Formato 6 a)'!C57</f>
        <v>-507549.36</v>
      </c>
      <c r="R50" s="18">
        <f>'Formato 6 a)'!D57</f>
        <v>202450.64</v>
      </c>
      <c r="S50" s="18">
        <f>'Formato 6 a)'!E57</f>
        <v>191609.12</v>
      </c>
      <c r="T50" s="18">
        <f>'Formato 6 a)'!F57</f>
        <v>191609.12</v>
      </c>
      <c r="U50" s="18">
        <f>'Formato 6 a)'!G57</f>
        <v>10841.520000000019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47283526.803300001</v>
      </c>
      <c r="Q150">
        <f>'Formato 6 a)'!C159</f>
        <v>953779.81999999972</v>
      </c>
      <c r="R150">
        <f>'Formato 6 a)'!D159</f>
        <v>48237306.623300001</v>
      </c>
      <c r="S150">
        <f>'Formato 6 a)'!E159</f>
        <v>43446471.07</v>
      </c>
      <c r="T150">
        <f>'Formato 6 a)'!F159</f>
        <v>42855391.899999999</v>
      </c>
      <c r="U150">
        <f>'Formato 6 a)'!G159</f>
        <v>4790835.5533000017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47283526.803300001</v>
      </c>
      <c r="C9" s="59">
        <f>SUM(C10:GASTO_NE_FIN_02)</f>
        <v>953779.82</v>
      </c>
      <c r="D9" s="59">
        <f>SUM(D10:GASTO_NE_FIN_03)</f>
        <v>48237306.623300001</v>
      </c>
      <c r="E9" s="59">
        <f>SUM(E10:GASTO_NE_FIN_04)</f>
        <v>43446471.069999993</v>
      </c>
      <c r="F9" s="59">
        <f>SUM(F10:GASTO_NE_FIN_05)</f>
        <v>42855391.899999991</v>
      </c>
      <c r="G9" s="59">
        <f>SUM(G10:GASTO_NE_FIN_06)</f>
        <v>4790835.5533000082</v>
      </c>
    </row>
    <row r="10" spans="1:7" s="24" customFormat="1" x14ac:dyDescent="0.25">
      <c r="A10" s="144" t="s">
        <v>3305</v>
      </c>
      <c r="B10" s="60">
        <v>47283526.803300001</v>
      </c>
      <c r="C10" s="60">
        <v>953779.82</v>
      </c>
      <c r="D10" s="60">
        <v>48237306.623300001</v>
      </c>
      <c r="E10" s="60">
        <v>43446471.069999993</v>
      </c>
      <c r="F10" s="60">
        <v>42855391.899999991</v>
      </c>
      <c r="G10" s="77">
        <f>D10-E10</f>
        <v>4790835.5533000082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47283526.803300001</v>
      </c>
      <c r="C29" s="61">
        <f>GASTO_NE_T2+GASTO_E_T2</f>
        <v>953779.82</v>
      </c>
      <c r="D29" s="61">
        <f>GASTO_NE_T3+GASTO_E_T3</f>
        <v>48237306.623300001</v>
      </c>
      <c r="E29" s="61">
        <f>GASTO_NE_T4+GASTO_E_T4</f>
        <v>43446471.069999993</v>
      </c>
      <c r="F29" s="61">
        <f>GASTO_NE_T5+GASTO_E_T5</f>
        <v>42855391.899999991</v>
      </c>
      <c r="G29" s="61">
        <f>GASTO_NE_T6+GASTO_E_T6</f>
        <v>4790835.5533000082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47283526.803300001</v>
      </c>
      <c r="Q2" s="18">
        <f>GASTO_NE_T2</f>
        <v>953779.82</v>
      </c>
      <c r="R2" s="18">
        <f>GASTO_NE_T3</f>
        <v>48237306.623300001</v>
      </c>
      <c r="S2" s="18">
        <f>GASTO_NE_T4</f>
        <v>43446471.069999993</v>
      </c>
      <c r="T2" s="18">
        <f>GASTO_NE_T5</f>
        <v>42855391.899999991</v>
      </c>
      <c r="U2" s="18">
        <f>GASTO_NE_T6</f>
        <v>4790835.5533000082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47283526.803300001</v>
      </c>
      <c r="Q4" s="18">
        <f>TOTAL_E_T2</f>
        <v>953779.82</v>
      </c>
      <c r="R4" s="18">
        <f>TOTAL_E_T3</f>
        <v>48237306.623300001</v>
      </c>
      <c r="S4" s="18">
        <f>TOTAL_E_T4</f>
        <v>43446471.069999993</v>
      </c>
      <c r="T4" s="18">
        <f>TOTAL_E_T5</f>
        <v>42855391.899999991</v>
      </c>
      <c r="U4" s="18">
        <f>TOTAL_E_T6</f>
        <v>4790835.5533000082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8" zoomScale="90" zoomScaleNormal="90" workbookViewId="0">
      <selection activeCell="B9" sqref="B9:G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 t="shared" ref="B9:G9" si="0">SUM(B10,B19,B27,B37)</f>
        <v>47283526.803300001</v>
      </c>
      <c r="C9" s="70">
        <f t="shared" si="0"/>
        <v>953779.81999999972</v>
      </c>
      <c r="D9" s="70">
        <f t="shared" si="0"/>
        <v>48237306.623300001</v>
      </c>
      <c r="E9" s="70">
        <f t="shared" si="0"/>
        <v>43446471.07</v>
      </c>
      <c r="F9" s="70">
        <f t="shared" si="0"/>
        <v>42855391.899999999</v>
      </c>
      <c r="G9" s="70">
        <f t="shared" si="0"/>
        <v>4790835.5533000007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 t="shared" ref="B19:G19" si="3">SUM(B20:B26)</f>
        <v>47283526.803300001</v>
      </c>
      <c r="C19" s="71">
        <f t="shared" si="3"/>
        <v>953779.81999999972</v>
      </c>
      <c r="D19" s="71">
        <f t="shared" si="3"/>
        <v>48237306.623300001</v>
      </c>
      <c r="E19" s="71">
        <f t="shared" si="3"/>
        <v>43446471.07</v>
      </c>
      <c r="F19" s="71">
        <f t="shared" si="3"/>
        <v>42855391.899999999</v>
      </c>
      <c r="G19" s="71">
        <f t="shared" si="3"/>
        <v>4790835.5533000007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47283526.803300001</v>
      </c>
      <c r="C26" s="71">
        <v>953779.81999999972</v>
      </c>
      <c r="D26" s="71">
        <v>48237306.623300001</v>
      </c>
      <c r="E26" s="71">
        <v>43446471.07</v>
      </c>
      <c r="F26" s="71">
        <v>42855391.899999999</v>
      </c>
      <c r="G26" s="72">
        <f t="shared" si="4"/>
        <v>4790835.5533000007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47283526.803300001</v>
      </c>
      <c r="C77" s="73">
        <f t="shared" ref="C77:F77" si="18">C43+C9</f>
        <v>953779.81999999972</v>
      </c>
      <c r="D77" s="73">
        <f t="shared" si="18"/>
        <v>48237306.623300001</v>
      </c>
      <c r="E77" s="73">
        <f t="shared" si="18"/>
        <v>43446471.07</v>
      </c>
      <c r="F77" s="73">
        <f t="shared" si="18"/>
        <v>42855391.899999999</v>
      </c>
      <c r="G77" s="73">
        <f>G43+G9</f>
        <v>4790835.5533000007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47283526.803300001</v>
      </c>
      <c r="Q2" s="18">
        <f>'Formato 6 c)'!C9</f>
        <v>953779.81999999972</v>
      </c>
      <c r="R2" s="18">
        <f>'Formato 6 c)'!D9</f>
        <v>48237306.623300001</v>
      </c>
      <c r="S2" s="18">
        <f>'Formato 6 c)'!E9</f>
        <v>43446471.07</v>
      </c>
      <c r="T2" s="18">
        <f>'Formato 6 c)'!F9</f>
        <v>42855391.899999999</v>
      </c>
      <c r="U2" s="18">
        <f>'Formato 6 c)'!G9</f>
        <v>4790835.5533000007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47283526.803300001</v>
      </c>
      <c r="Q12" s="18">
        <f>'Formato 6 c)'!C19</f>
        <v>953779.81999999972</v>
      </c>
      <c r="R12" s="18">
        <f>'Formato 6 c)'!D19</f>
        <v>48237306.623300001</v>
      </c>
      <c r="S12" s="18">
        <f>'Formato 6 c)'!E19</f>
        <v>43446471.07</v>
      </c>
      <c r="T12" s="18">
        <f>'Formato 6 c)'!F19</f>
        <v>42855391.899999999</v>
      </c>
      <c r="U12" s="18">
        <f>'Formato 6 c)'!G19</f>
        <v>4790835.5533000007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47283526.803300001</v>
      </c>
      <c r="Q19" s="18">
        <f>'Formato 6 c)'!C26</f>
        <v>953779.81999999972</v>
      </c>
      <c r="R19" s="18">
        <f>'Formato 6 c)'!D26</f>
        <v>48237306.623300001</v>
      </c>
      <c r="S19" s="18">
        <f>'Formato 6 c)'!E26</f>
        <v>43446471.07</v>
      </c>
      <c r="T19" s="18">
        <f>'Formato 6 c)'!F26</f>
        <v>42855391.899999999</v>
      </c>
      <c r="U19" s="18">
        <f>'Formato 6 c)'!G26</f>
        <v>4790835.5533000007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47283526.803300001</v>
      </c>
      <c r="Q68" s="18">
        <f>'Formato 6 c)'!C77</f>
        <v>953779.81999999972</v>
      </c>
      <c r="R68" s="18">
        <f>'Formato 6 c)'!D77</f>
        <v>48237306.623300001</v>
      </c>
      <c r="S68" s="18">
        <f>'Formato 6 c)'!E77</f>
        <v>43446471.07</v>
      </c>
      <c r="T68" s="18">
        <f>'Formato 6 c)'!F77</f>
        <v>42855391.899999999</v>
      </c>
      <c r="U68" s="18">
        <f>'Formato 6 c)'!G77</f>
        <v>4790835.5533000007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D12" sqref="D1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31868710</v>
      </c>
      <c r="C9" s="66">
        <f t="shared" ref="C9:F9" si="0">SUM(C10,C11,C12,C15,C16,C19)</f>
        <v>0</v>
      </c>
      <c r="D9" s="66">
        <f t="shared" si="0"/>
        <v>31868710</v>
      </c>
      <c r="E9" s="66">
        <f t="shared" si="0"/>
        <v>28105235.09</v>
      </c>
      <c r="F9" s="66">
        <f t="shared" si="0"/>
        <v>27568703.920000002</v>
      </c>
      <c r="G9" s="66">
        <f>SUM(G10,G11,G12,G15,G16,G19)</f>
        <v>3763474.91</v>
      </c>
    </row>
    <row r="10" spans="1:7" x14ac:dyDescent="0.25">
      <c r="A10" s="53" t="s">
        <v>401</v>
      </c>
      <c r="B10" s="67">
        <v>31868710</v>
      </c>
      <c r="C10" s="67">
        <v>0</v>
      </c>
      <c r="D10" s="67">
        <v>31868710</v>
      </c>
      <c r="E10" s="67">
        <v>28105235.09</v>
      </c>
      <c r="F10" s="67">
        <v>27568703.920000002</v>
      </c>
      <c r="G10" s="67">
        <f>D10-E10</f>
        <v>3763474.91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>C13+C14</f>
        <v>0</v>
      </c>
      <c r="D12" s="67">
        <f t="shared" ref="D12:F12" si="1"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31868710</v>
      </c>
      <c r="C33" s="66">
        <f t="shared" ref="C33:G33" si="9">C21+C9</f>
        <v>0</v>
      </c>
      <c r="D33" s="66">
        <f t="shared" si="9"/>
        <v>31868710</v>
      </c>
      <c r="E33" s="66">
        <f t="shared" si="9"/>
        <v>28105235.09</v>
      </c>
      <c r="F33" s="66">
        <f t="shared" si="9"/>
        <v>27568703.920000002</v>
      </c>
      <c r="G33" s="66">
        <f t="shared" si="9"/>
        <v>3763474.91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31868710</v>
      </c>
      <c r="Q2" s="18">
        <f>'Formato 6 d)'!C9</f>
        <v>0</v>
      </c>
      <c r="R2" s="18">
        <f>'Formato 6 d)'!D9</f>
        <v>31868710</v>
      </c>
      <c r="S2" s="18">
        <f>'Formato 6 d)'!E9</f>
        <v>28105235.09</v>
      </c>
      <c r="T2" s="18">
        <f>'Formato 6 d)'!F9</f>
        <v>27568703.920000002</v>
      </c>
      <c r="U2" s="18">
        <f>'Formato 6 d)'!G9</f>
        <v>3763474.91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31868710</v>
      </c>
      <c r="Q3" s="18">
        <f>'Formato 6 d)'!C10</f>
        <v>0</v>
      </c>
      <c r="R3" s="18">
        <f>'Formato 6 d)'!D10</f>
        <v>31868710</v>
      </c>
      <c r="S3" s="18">
        <f>'Formato 6 d)'!E10</f>
        <v>28105235.09</v>
      </c>
      <c r="T3" s="18">
        <f>'Formato 6 d)'!F10</f>
        <v>27568703.920000002</v>
      </c>
      <c r="U3" s="18">
        <f>'Formato 6 d)'!G10</f>
        <v>3763474.91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31868710</v>
      </c>
      <c r="Q24" s="18">
        <f>'Formato 6 d)'!C33</f>
        <v>0</v>
      </c>
      <c r="R24" s="18">
        <f>'Formato 6 d)'!D33</f>
        <v>31868710</v>
      </c>
      <c r="S24" s="18">
        <f>'Formato 6 d)'!E33</f>
        <v>28105235.09</v>
      </c>
      <c r="T24" s="18">
        <f>'Formato 6 d)'!F33</f>
        <v>27568703.920000002</v>
      </c>
      <c r="U24" s="18">
        <f>'Formato 6 d)'!G33</f>
        <v>3763474.91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abSelected="1" zoomScale="90" zoomScaleNormal="9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27160417.850000001</v>
      </c>
      <c r="D7" s="59">
        <f>SUM(D8:D19)</f>
        <v>39416288.539999999</v>
      </c>
      <c r="E7" s="59">
        <f t="shared" si="0"/>
        <v>38768725.93</v>
      </c>
      <c r="F7" s="59">
        <f t="shared" si="0"/>
        <v>45239793.839999996</v>
      </c>
      <c r="G7" s="59">
        <f t="shared" si="0"/>
        <v>48487802.07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27160417.850000001</v>
      </c>
      <c r="D17" s="60">
        <v>39416288.539999999</v>
      </c>
      <c r="E17" s="60">
        <v>38768725.93</v>
      </c>
      <c r="F17" s="60">
        <v>45239793.839999996</v>
      </c>
      <c r="G17" s="60">
        <v>48487802.07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27160417.850000001</v>
      </c>
      <c r="D31" s="61">
        <f t="shared" si="3"/>
        <v>39416288.539999999</v>
      </c>
      <c r="E31" s="61">
        <f t="shared" si="3"/>
        <v>38768725.93</v>
      </c>
      <c r="F31" s="61">
        <f t="shared" si="3"/>
        <v>45239793.839999996</v>
      </c>
      <c r="G31" s="61">
        <f t="shared" si="3"/>
        <v>48487802.07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27160417.850000001</v>
      </c>
      <c r="R2" s="18">
        <f>'Formato 7 c)'!D7</f>
        <v>39416288.539999999</v>
      </c>
      <c r="S2" s="18">
        <f>'Formato 7 c)'!E7</f>
        <v>38768725.93</v>
      </c>
      <c r="T2" s="18">
        <f>'Formato 7 c)'!F7</f>
        <v>45239793.839999996</v>
      </c>
      <c r="U2" s="18">
        <f>'Formato 7 c)'!G7</f>
        <v>48487802.07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27160417.850000001</v>
      </c>
      <c r="R12" s="18">
        <f>'Formato 7 c)'!D17</f>
        <v>39416288.539999999</v>
      </c>
      <c r="S12" s="18">
        <f>'Formato 7 c)'!E17</f>
        <v>38768725.93</v>
      </c>
      <c r="T12" s="18">
        <f>'Formato 7 c)'!F17</f>
        <v>45239793.839999996</v>
      </c>
      <c r="U12" s="18">
        <f>'Formato 7 c)'!G17</f>
        <v>48487802.07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27160417.850000001</v>
      </c>
      <c r="R23" s="18">
        <f>'Formato 7 c)'!D31</f>
        <v>39416288.539999999</v>
      </c>
      <c r="S23" s="18">
        <f>'Formato 7 c)'!E31</f>
        <v>38768725.93</v>
      </c>
      <c r="T23" s="18">
        <f>'Formato 7 c)'!F31</f>
        <v>45239793.839999996</v>
      </c>
      <c r="U23" s="18">
        <f>'Formato 7 c)'!G31</f>
        <v>48487802.07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 t="shared" ref="B7:G7" si="0">SUM(B8:B16)</f>
        <v>0</v>
      </c>
      <c r="C7" s="59">
        <f t="shared" si="0"/>
        <v>26598632.98</v>
      </c>
      <c r="D7" s="59">
        <f t="shared" si="0"/>
        <v>38236942.903763905</v>
      </c>
      <c r="E7" s="59">
        <f t="shared" si="0"/>
        <v>37919522.759999998</v>
      </c>
      <c r="F7" s="59">
        <f t="shared" si="0"/>
        <v>42410353.630000003</v>
      </c>
      <c r="G7" s="59">
        <f t="shared" si="0"/>
        <v>43446471.07</v>
      </c>
    </row>
    <row r="8" spans="1:7" x14ac:dyDescent="0.25">
      <c r="A8" s="53" t="s">
        <v>454</v>
      </c>
      <c r="B8" s="60">
        <v>0</v>
      </c>
      <c r="C8" s="60">
        <v>20343976.73</v>
      </c>
      <c r="D8" s="60">
        <v>24086764.593763899</v>
      </c>
      <c r="E8" s="60">
        <v>26396833.829999998</v>
      </c>
      <c r="F8" s="60">
        <v>28075487.780000001</v>
      </c>
      <c r="G8" s="60">
        <v>28105235.09</v>
      </c>
    </row>
    <row r="9" spans="1:7" x14ac:dyDescent="0.25">
      <c r="A9" s="53" t="s">
        <v>455</v>
      </c>
      <c r="B9" s="60">
        <v>0</v>
      </c>
      <c r="C9" s="60">
        <v>843769.23</v>
      </c>
      <c r="D9" s="60">
        <v>1550111.51</v>
      </c>
      <c r="E9" s="60">
        <v>1381124.76</v>
      </c>
      <c r="F9" s="60">
        <v>1208783.7</v>
      </c>
      <c r="G9" s="60">
        <v>1980653.5799999998</v>
      </c>
    </row>
    <row r="10" spans="1:7" x14ac:dyDescent="0.25">
      <c r="A10" s="53" t="s">
        <v>456</v>
      </c>
      <c r="B10" s="60">
        <v>0</v>
      </c>
      <c r="C10" s="60">
        <v>5249687.0199999996</v>
      </c>
      <c r="D10" s="60">
        <v>7923328.7699999996</v>
      </c>
      <c r="E10" s="60">
        <v>7002690.9399999995</v>
      </c>
      <c r="F10" s="60">
        <v>10963146.130000001</v>
      </c>
      <c r="G10" s="60">
        <v>12644618.83</v>
      </c>
    </row>
    <row r="11" spans="1:7" x14ac:dyDescent="0.25">
      <c r="A11" s="53" t="s">
        <v>457</v>
      </c>
      <c r="B11" s="60">
        <v>0</v>
      </c>
      <c r="C11" s="60">
        <v>158000</v>
      </c>
      <c r="D11" s="60">
        <v>294000</v>
      </c>
      <c r="E11" s="60">
        <v>424050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3200</v>
      </c>
      <c r="D12" s="60">
        <v>4382738.03</v>
      </c>
      <c r="E12" s="60">
        <v>2714823.2299999995</v>
      </c>
      <c r="F12" s="60">
        <v>2162936.02</v>
      </c>
      <c r="G12" s="60">
        <v>715963.57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26598632.98</v>
      </c>
      <c r="D29" s="60">
        <f t="shared" si="2"/>
        <v>38236942.903763905</v>
      </c>
      <c r="E29" s="60">
        <f t="shared" si="2"/>
        <v>37919522.759999998</v>
      </c>
      <c r="F29" s="60">
        <f t="shared" si="2"/>
        <v>42410353.630000003</v>
      </c>
      <c r="G29" s="60">
        <f t="shared" si="2"/>
        <v>43446471.07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26598632.98</v>
      </c>
      <c r="R2" s="18">
        <f>'Formato 7 d)'!D7</f>
        <v>38236942.903763905</v>
      </c>
      <c r="S2" s="18">
        <f>'Formato 7 d)'!E7</f>
        <v>37919522.759999998</v>
      </c>
      <c r="T2" s="18">
        <f>'Formato 7 d)'!F7</f>
        <v>42410353.630000003</v>
      </c>
      <c r="U2" s="18">
        <f>'Formato 7 d)'!G7</f>
        <v>43446471.07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20343976.73</v>
      </c>
      <c r="R3" s="18">
        <f>'Formato 7 d)'!D8</f>
        <v>24086764.593763899</v>
      </c>
      <c r="S3" s="18">
        <f>'Formato 7 d)'!E8</f>
        <v>26396833.829999998</v>
      </c>
      <c r="T3" s="18">
        <f>'Formato 7 d)'!F8</f>
        <v>28075487.780000001</v>
      </c>
      <c r="U3" s="18">
        <f>'Formato 7 d)'!G8</f>
        <v>28105235.09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843769.23</v>
      </c>
      <c r="R4" s="18">
        <f>'Formato 7 d)'!D9</f>
        <v>1550111.51</v>
      </c>
      <c r="S4" s="18">
        <f>'Formato 7 d)'!E9</f>
        <v>1381124.76</v>
      </c>
      <c r="T4" s="18">
        <f>'Formato 7 d)'!F9</f>
        <v>1208783.7</v>
      </c>
      <c r="U4" s="18">
        <f>'Formato 7 d)'!G9</f>
        <v>1980653.5799999998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5249687.0199999996</v>
      </c>
      <c r="R5" s="18">
        <f>'Formato 7 d)'!D10</f>
        <v>7923328.7699999996</v>
      </c>
      <c r="S5" s="18">
        <f>'Formato 7 d)'!E10</f>
        <v>7002690.9399999995</v>
      </c>
      <c r="T5" s="18">
        <f>'Formato 7 d)'!F10</f>
        <v>10963146.130000001</v>
      </c>
      <c r="U5" s="18">
        <f>'Formato 7 d)'!G10</f>
        <v>12644618.83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158000</v>
      </c>
      <c r="R6" s="18">
        <f>'Formato 7 d)'!D11</f>
        <v>294000</v>
      </c>
      <c r="S6" s="18">
        <f>'Formato 7 d)'!E11</f>
        <v>424050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3200</v>
      </c>
      <c r="R7" s="18">
        <f>'Formato 7 d)'!D12</f>
        <v>4382738.03</v>
      </c>
      <c r="S7" s="18">
        <f>'Formato 7 d)'!E12</f>
        <v>2714823.2299999995</v>
      </c>
      <c r="T7" s="18">
        <f>'Formato 7 d)'!F12</f>
        <v>2162936.02</v>
      </c>
      <c r="U7" s="18">
        <f>'Formato 7 d)'!G12</f>
        <v>715963.57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26598632.98</v>
      </c>
      <c r="R22" s="18">
        <f>'Formato 7 d)'!D29</f>
        <v>38236942.903763905</v>
      </c>
      <c r="S22" s="18">
        <f>'Formato 7 d)'!E29</f>
        <v>37919522.759999998</v>
      </c>
      <c r="T22" s="18">
        <f>'Formato 7 d)'!F29</f>
        <v>42410353.630000003</v>
      </c>
      <c r="U22" s="18">
        <f>'Formato 7 d)'!G29</f>
        <v>43446471.07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56" zoomScale="90" zoomScaleNormal="9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2021 y al 31 de diciembre de 2022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7150394.4800000004</v>
      </c>
      <c r="C9" s="60">
        <f>SUM(C10:C16)</f>
        <v>5104964.47</v>
      </c>
      <c r="D9" s="100" t="s">
        <v>54</v>
      </c>
      <c r="E9" s="60">
        <f>SUM(E10:E18)</f>
        <v>1009717.01</v>
      </c>
      <c r="F9" s="60">
        <f>SUM(F10:F18)</f>
        <v>1221601.0699999998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586957.76</v>
      </c>
      <c r="F10" s="60">
        <v>645911.06999999995</v>
      </c>
    </row>
    <row r="11" spans="1:6" x14ac:dyDescent="0.25">
      <c r="A11" s="96" t="s">
        <v>5</v>
      </c>
      <c r="B11" s="60">
        <v>7150394.4800000004</v>
      </c>
      <c r="C11" s="60">
        <v>5104964.47</v>
      </c>
      <c r="D11" s="101" t="s">
        <v>56</v>
      </c>
      <c r="E11" s="60">
        <v>0</v>
      </c>
      <c r="F11" s="60">
        <v>64043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422759.25</v>
      </c>
      <c r="F16" s="60">
        <v>511647</v>
      </c>
    </row>
    <row r="17" spans="1:6" x14ac:dyDescent="0.25">
      <c r="A17" s="95" t="s">
        <v>11</v>
      </c>
      <c r="B17" s="60">
        <f>+SUM(B18:B24)</f>
        <v>803.2</v>
      </c>
      <c r="C17" s="60">
        <f>SUM(C18:C24)</f>
        <v>10788.19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803.2</v>
      </c>
      <c r="C20" s="60">
        <v>10788.19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7151197.6800000006</v>
      </c>
      <c r="C47" s="61">
        <f>C9+C17+C25+C31+C38+C41</f>
        <v>5115752.66</v>
      </c>
      <c r="D47" s="99" t="s">
        <v>91</v>
      </c>
      <c r="E47" s="61">
        <f>E9+E19+E23+E26+E27+E31+E38+E42</f>
        <v>1009717.01</v>
      </c>
      <c r="F47" s="61">
        <f>F9+F19+F23+F26+F27+F31+F38+F42</f>
        <v>1221601.0699999998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8058623.6699999999</v>
      </c>
      <c r="C53" s="60">
        <v>7441063.3300000001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2364857.71</v>
      </c>
      <c r="C54" s="60">
        <v>2173248.59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-7010344.6699999999</v>
      </c>
      <c r="C55" s="60">
        <v>-4872785.29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1009717.01</v>
      </c>
      <c r="F59" s="61">
        <f>F47+F57</f>
        <v>1221601.0699999998</v>
      </c>
    </row>
    <row r="60" spans="1:6" x14ac:dyDescent="0.25">
      <c r="A60" s="55" t="s">
        <v>50</v>
      </c>
      <c r="B60" s="61">
        <f>SUM(B50:B58)</f>
        <v>3413136.709999999</v>
      </c>
      <c r="C60" s="61">
        <f>SUM(C50:C58)</f>
        <v>4741526.63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10564334.390000001</v>
      </c>
      <c r="C62" s="61">
        <f>SUM(C47+C60)</f>
        <v>9857279.2899999991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9554617.3800000008</v>
      </c>
      <c r="F68" s="77">
        <f>SUM(F69:F73)</f>
        <v>8635678.2200000007</v>
      </c>
    </row>
    <row r="69" spans="1:6" x14ac:dyDescent="0.25">
      <c r="A69" s="12"/>
      <c r="B69" s="54"/>
      <c r="C69" s="54"/>
      <c r="D69" s="103" t="s">
        <v>107</v>
      </c>
      <c r="E69" s="77">
        <v>3668037.19</v>
      </c>
      <c r="F69" s="77">
        <v>2141885.23</v>
      </c>
    </row>
    <row r="70" spans="1:6" x14ac:dyDescent="0.25">
      <c r="A70" s="12"/>
      <c r="B70" s="54"/>
      <c r="C70" s="54"/>
      <c r="D70" s="103" t="s">
        <v>108</v>
      </c>
      <c r="E70" s="77">
        <v>5829412.4500000002</v>
      </c>
      <c r="F70" s="77">
        <v>6493792.9900000002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57167.74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9554617.3800000008</v>
      </c>
      <c r="F79" s="61">
        <f>F63+F68+F75</f>
        <v>8635678.2200000007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10564334.390000001</v>
      </c>
      <c r="F81" s="61">
        <f>F59+F79</f>
        <v>9857279.290000001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7150394.4800000004</v>
      </c>
      <c r="Q4" s="18">
        <f>'Formato 1'!C9</f>
        <v>5104964.47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7150394.4800000004</v>
      </c>
      <c r="Q6" s="18">
        <f>'Formato 1'!C11</f>
        <v>5104964.47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803.2</v>
      </c>
      <c r="Q12" s="18">
        <f>'Formato 1'!C17</f>
        <v>10788.19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803.2</v>
      </c>
      <c r="Q15" s="18">
        <f>'Formato 1'!C20</f>
        <v>10788.19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7151197.6800000006</v>
      </c>
      <c r="Q42" s="18">
        <f>'Formato 1'!C47</f>
        <v>5115752.66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8058623.6699999999</v>
      </c>
      <c r="Q47">
        <f>'Formato 1'!C53</f>
        <v>7441063.3300000001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2364857.71</v>
      </c>
      <c r="Q48">
        <f>'Formato 1'!C54</f>
        <v>2173248.59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-7010344.6699999999</v>
      </c>
      <c r="Q49">
        <f>'Formato 1'!C55</f>
        <v>-4872785.29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3413136.709999999</v>
      </c>
      <c r="Q53">
        <f>'Formato 1'!C60</f>
        <v>4741526.63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10564334.390000001</v>
      </c>
      <c r="Q54">
        <f>'Formato 1'!C62</f>
        <v>9857279.2899999991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1009717.01</v>
      </c>
      <c r="Q57">
        <f>'Formato 1'!F9</f>
        <v>1221601.0699999998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586957.76</v>
      </c>
      <c r="Q58">
        <f>'Formato 1'!F10</f>
        <v>645911.06999999995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64043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422759.25</v>
      </c>
      <c r="Q64">
        <f>'Formato 1'!F16</f>
        <v>511647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1009717.01</v>
      </c>
      <c r="Q95">
        <f>'Formato 1'!F47</f>
        <v>1221601.0699999998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1009717.01</v>
      </c>
      <c r="Q104">
        <f>'Formato 1'!F59</f>
        <v>1221601.0699999998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9554617.3800000008</v>
      </c>
      <c r="Q110">
        <f>'Formato 1'!F68</f>
        <v>8635678.2200000007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3668037.19</v>
      </c>
      <c r="Q111">
        <f>'Formato 1'!F69</f>
        <v>2141885.23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5829412.4500000002</v>
      </c>
      <c r="Q112">
        <f>'Formato 1'!F70</f>
        <v>6493792.9900000002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57167.74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9554617.3800000008</v>
      </c>
      <c r="Q119">
        <f>'Formato 1'!F79</f>
        <v>8635678.2200000007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10564334.390000001</v>
      </c>
      <c r="Q120">
        <f>'Formato 1'!F81</f>
        <v>9857279.290000001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16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2021 y al 31 de diciembre de 2022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1221601.0699999998</v>
      </c>
      <c r="C18" s="132"/>
      <c r="D18" s="132"/>
      <c r="E18" s="132"/>
      <c r="F18" s="61">
        <v>1009717.01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1221601.0699999998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1009717.01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1221601.0699999998</v>
      </c>
      <c r="Q12" s="18"/>
      <c r="R12" s="18"/>
      <c r="S12" s="18"/>
      <c r="T12" s="18">
        <f>'Formato 2'!F18</f>
        <v>1009717.01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1221601.0699999998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1009717.01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2022 (k)</v>
      </c>
      <c r="J6" s="131" t="str">
        <f>MONTO2</f>
        <v>Monto pagado de la inversión actualizado al 31 de diciembre de 2022 (l)</v>
      </c>
      <c r="K6" s="131" t="str">
        <f>SALDO_PENDIENTE</f>
        <v>Saldo pendiente por pagar de la inversión al 31 de diciembre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Miguel</cp:lastModifiedBy>
  <cp:lastPrinted>2017-02-04T00:56:20Z</cp:lastPrinted>
  <dcterms:created xsi:type="dcterms:W3CDTF">2017-01-19T17:59:06Z</dcterms:created>
  <dcterms:modified xsi:type="dcterms:W3CDTF">2023-02-16T14:51:12Z</dcterms:modified>
</cp:coreProperties>
</file>