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3.- jul-sep 19 IMJU\Archivos 3 trimeste imju ok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 firstSheet="19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8" l="1"/>
  <c r="G24" i="8"/>
  <c r="B19" i="8"/>
  <c r="F9" i="7" l="1"/>
  <c r="E9" i="7"/>
  <c r="D9" i="7"/>
  <c r="C9" i="7"/>
  <c r="B9" i="7"/>
  <c r="G11" i="6"/>
  <c r="G10" i="6"/>
  <c r="F10" i="6"/>
  <c r="E10" i="6"/>
  <c r="D10" i="6"/>
  <c r="C10" i="6"/>
  <c r="B10" i="6"/>
  <c r="B9" i="6"/>
  <c r="B159" i="6"/>
  <c r="G53" i="6"/>
  <c r="G52" i="6"/>
  <c r="G51" i="6"/>
  <c r="G50" i="6"/>
  <c r="G49" i="6"/>
  <c r="G48" i="6"/>
  <c r="F37" i="5" l="1"/>
  <c r="E37" i="5"/>
  <c r="D37" i="5"/>
  <c r="C37" i="5"/>
  <c r="G37" i="5"/>
  <c r="G39" i="5"/>
  <c r="G34" i="5"/>
  <c r="C21" i="4" l="1"/>
  <c r="E9" i="1" l="1"/>
  <c r="F9" i="9" l="1"/>
  <c r="E9" i="9"/>
  <c r="D9" i="9"/>
  <c r="B9" i="9"/>
  <c r="C9" i="9"/>
  <c r="B9" i="8"/>
  <c r="G10" i="7"/>
  <c r="B18" i="6"/>
  <c r="G16" i="6"/>
  <c r="G15" i="6"/>
  <c r="G14" i="6"/>
  <c r="G13" i="6"/>
  <c r="G12" i="6"/>
  <c r="G15" i="5" l="1"/>
  <c r="G13" i="5"/>
  <c r="B20" i="2" l="1"/>
  <c r="F20" i="2"/>
  <c r="B60" i="1"/>
  <c r="B21" i="4" l="1"/>
  <c r="C137" i="6" l="1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B9" i="1"/>
  <c r="H25" i="23"/>
  <c r="F5" i="12" s="1"/>
  <c r="G25" i="23"/>
  <c r="F25" i="23"/>
  <c r="E25" i="23"/>
  <c r="D25" i="23"/>
  <c r="G30" i="9"/>
  <c r="G31" i="9"/>
  <c r="U23" i="27" s="1"/>
  <c r="G29" i="9"/>
  <c r="G26" i="9"/>
  <c r="U18" i="27" s="1"/>
  <c r="G27" i="9"/>
  <c r="G25" i="9"/>
  <c r="U17" i="27" s="1"/>
  <c r="G23" i="9"/>
  <c r="G22" i="9"/>
  <c r="U14" i="27" s="1"/>
  <c r="G19" i="9"/>
  <c r="G18" i="9"/>
  <c r="G16" i="9" s="1"/>
  <c r="G17" i="9"/>
  <c r="G14" i="9"/>
  <c r="G15" i="9"/>
  <c r="G13" i="9"/>
  <c r="U6" i="27" s="1"/>
  <c r="G11" i="9"/>
  <c r="G10" i="9"/>
  <c r="G73" i="8"/>
  <c r="G74" i="8"/>
  <c r="G75" i="8"/>
  <c r="G72" i="8"/>
  <c r="G71" i="8" s="1"/>
  <c r="U63" i="26" s="1"/>
  <c r="G63" i="8"/>
  <c r="U55" i="26" s="1"/>
  <c r="G64" i="8"/>
  <c r="G65" i="8"/>
  <c r="U57" i="26" s="1"/>
  <c r="G66" i="8"/>
  <c r="G67" i="8"/>
  <c r="U59" i="26" s="1"/>
  <c r="G68" i="8"/>
  <c r="G69" i="8"/>
  <c r="U61" i="26" s="1"/>
  <c r="G70" i="8"/>
  <c r="G62" i="8"/>
  <c r="G61" i="8" s="1"/>
  <c r="U53" i="26" s="1"/>
  <c r="G55" i="8"/>
  <c r="G56" i="8"/>
  <c r="G53" i="8" s="1"/>
  <c r="U45" i="26" s="1"/>
  <c r="G57" i="8"/>
  <c r="G58" i="8"/>
  <c r="U50" i="26" s="1"/>
  <c r="G59" i="8"/>
  <c r="G60" i="8"/>
  <c r="U52" i="26" s="1"/>
  <c r="G54" i="8"/>
  <c r="G46" i="8"/>
  <c r="G44" i="8" s="1"/>
  <c r="G47" i="8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G12" i="8"/>
  <c r="G13" i="8"/>
  <c r="G14" i="8"/>
  <c r="G15" i="8"/>
  <c r="G16" i="8"/>
  <c r="G17" i="8"/>
  <c r="G18" i="8"/>
  <c r="G20" i="8"/>
  <c r="U13" i="26" s="1"/>
  <c r="G21" i="8"/>
  <c r="G22" i="8"/>
  <c r="U15" i="26" s="1"/>
  <c r="G23" i="8"/>
  <c r="U17" i="26"/>
  <c r="G25" i="8"/>
  <c r="U19" i="26"/>
  <c r="G28" i="8"/>
  <c r="U21" i="26" s="1"/>
  <c r="G29" i="8"/>
  <c r="G30" i="8"/>
  <c r="U23" i="26" s="1"/>
  <c r="G31" i="8"/>
  <c r="G32" i="8"/>
  <c r="U25" i="26" s="1"/>
  <c r="G33" i="8"/>
  <c r="G34" i="8"/>
  <c r="U27" i="26" s="1"/>
  <c r="G35" i="8"/>
  <c r="G36" i="8"/>
  <c r="U29" i="26" s="1"/>
  <c r="G21" i="7"/>
  <c r="G19" i="7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P3" i="24"/>
  <c r="B28" i="6"/>
  <c r="B38" i="6"/>
  <c r="P31" i="24" s="1"/>
  <c r="B48" i="6"/>
  <c r="B58" i="6"/>
  <c r="B71" i="6"/>
  <c r="P64" i="24" s="1"/>
  <c r="B75" i="6"/>
  <c r="G152" i="6"/>
  <c r="U144" i="24" s="1"/>
  <c r="G153" i="6"/>
  <c r="G154" i="6"/>
  <c r="U146" i="24" s="1"/>
  <c r="G155" i="6"/>
  <c r="G156" i="6"/>
  <c r="U148" i="24" s="1"/>
  <c r="G157" i="6"/>
  <c r="G151" i="6"/>
  <c r="G150" i="6" s="1"/>
  <c r="U142" i="24" s="1"/>
  <c r="G148" i="6"/>
  <c r="G149" i="6"/>
  <c r="G146" i="6" s="1"/>
  <c r="U138" i="24" s="1"/>
  <c r="G147" i="6"/>
  <c r="G139" i="6"/>
  <c r="U131" i="24" s="1"/>
  <c r="G140" i="6"/>
  <c r="G141" i="6"/>
  <c r="U133" i="24" s="1"/>
  <c r="G142" i="6"/>
  <c r="G143" i="6"/>
  <c r="U135" i="24" s="1"/>
  <c r="G144" i="6"/>
  <c r="G145" i="6"/>
  <c r="U137" i="24" s="1"/>
  <c r="G138" i="6"/>
  <c r="G135" i="6"/>
  <c r="U127" i="24" s="1"/>
  <c r="G136" i="6"/>
  <c r="G134" i="6"/>
  <c r="G133" i="6" s="1"/>
  <c r="U125" i="24" s="1"/>
  <c r="G125" i="6"/>
  <c r="G126" i="6"/>
  <c r="G123" i="6" s="1"/>
  <c r="U115" i="24" s="1"/>
  <c r="G127" i="6"/>
  <c r="G128" i="6"/>
  <c r="G129" i="6"/>
  <c r="G130" i="6"/>
  <c r="G131" i="6"/>
  <c r="G132" i="6"/>
  <c r="G124" i="6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G114" i="6"/>
  <c r="G113" i="6" s="1"/>
  <c r="U105" i="24" s="1"/>
  <c r="G105" i="6"/>
  <c r="G106" i="6"/>
  <c r="G103" i="6" s="1"/>
  <c r="U95" i="24" s="1"/>
  <c r="G107" i="6"/>
  <c r="G108" i="6"/>
  <c r="G109" i="6"/>
  <c r="G110" i="6"/>
  <c r="G111" i="6"/>
  <c r="G112" i="6"/>
  <c r="G104" i="6"/>
  <c r="G95" i="6"/>
  <c r="U87" i="24" s="1"/>
  <c r="G96" i="6"/>
  <c r="G97" i="6"/>
  <c r="U89" i="24" s="1"/>
  <c r="G98" i="6"/>
  <c r="G99" i="6"/>
  <c r="U91" i="24" s="1"/>
  <c r="G100" i="6"/>
  <c r="G101" i="6"/>
  <c r="U93" i="24" s="1"/>
  <c r="G102" i="6"/>
  <c r="G94" i="6"/>
  <c r="G93" i="6" s="1"/>
  <c r="U85" i="24" s="1"/>
  <c r="G87" i="6"/>
  <c r="G88" i="6"/>
  <c r="G85" i="6" s="1"/>
  <c r="U77" i="24" s="1"/>
  <c r="G89" i="6"/>
  <c r="G90" i="6"/>
  <c r="G91" i="6"/>
  <c r="G92" i="6"/>
  <c r="G86" i="6"/>
  <c r="G77" i="6"/>
  <c r="U70" i="24" s="1"/>
  <c r="G78" i="6"/>
  <c r="G79" i="6"/>
  <c r="U72" i="24" s="1"/>
  <c r="G80" i="6"/>
  <c r="G81" i="6"/>
  <c r="U74" i="24" s="1"/>
  <c r="G82" i="6"/>
  <c r="G76" i="6"/>
  <c r="G75" i="6" s="1"/>
  <c r="U68" i="24" s="1"/>
  <c r="G73" i="6"/>
  <c r="G74" i="6"/>
  <c r="G71" i="6" s="1"/>
  <c r="U64" i="24" s="1"/>
  <c r="G72" i="6"/>
  <c r="G64" i="6"/>
  <c r="G65" i="6"/>
  <c r="G66" i="6"/>
  <c r="G67" i="6"/>
  <c r="G68" i="6"/>
  <c r="G69" i="6"/>
  <c r="G70" i="6"/>
  <c r="G63" i="6"/>
  <c r="G60" i="6"/>
  <c r="G61" i="6"/>
  <c r="G59" i="6"/>
  <c r="U52" i="24" s="1"/>
  <c r="U43" i="24"/>
  <c r="U45" i="24"/>
  <c r="G54" i="6"/>
  <c r="U47" i="24" s="1"/>
  <c r="G55" i="6"/>
  <c r="G56" i="6"/>
  <c r="U49" i="24" s="1"/>
  <c r="G57" i="6"/>
  <c r="U41" i="24"/>
  <c r="G40" i="6"/>
  <c r="G41" i="6"/>
  <c r="U34" i="24" s="1"/>
  <c r="G42" i="6"/>
  <c r="G43" i="6"/>
  <c r="U36" i="24" s="1"/>
  <c r="G44" i="6"/>
  <c r="G45" i="6"/>
  <c r="U38" i="24" s="1"/>
  <c r="G46" i="6"/>
  <c r="G47" i="6"/>
  <c r="U40" i="24" s="1"/>
  <c r="G39" i="6"/>
  <c r="G30" i="6"/>
  <c r="U23" i="24" s="1"/>
  <c r="G31" i="6"/>
  <c r="G32" i="6"/>
  <c r="U25" i="24" s="1"/>
  <c r="G33" i="6"/>
  <c r="G34" i="6"/>
  <c r="U27" i="24" s="1"/>
  <c r="G35" i="6"/>
  <c r="G36" i="6"/>
  <c r="U29" i="24" s="1"/>
  <c r="G37" i="6"/>
  <c r="G29" i="6"/>
  <c r="G20" i="6"/>
  <c r="U13" i="24" s="1"/>
  <c r="G21" i="6"/>
  <c r="G22" i="6"/>
  <c r="U15" i="24" s="1"/>
  <c r="G23" i="6"/>
  <c r="U16" i="24" s="1"/>
  <c r="G24" i="6"/>
  <c r="U17" i="24" s="1"/>
  <c r="G25" i="6"/>
  <c r="U18" i="24" s="1"/>
  <c r="G26" i="6"/>
  <c r="U19" i="24" s="1"/>
  <c r="G27" i="6"/>
  <c r="U20" i="24" s="1"/>
  <c r="G19" i="6"/>
  <c r="B7" i="13"/>
  <c r="U5" i="24"/>
  <c r="G18" i="6"/>
  <c r="U11" i="24" s="1"/>
  <c r="U6" i="24"/>
  <c r="U7" i="24"/>
  <c r="U8" i="24"/>
  <c r="U9" i="24"/>
  <c r="G17" i="6"/>
  <c r="G9" i="5"/>
  <c r="G10" i="5"/>
  <c r="G11" i="5"/>
  <c r="G12" i="5"/>
  <c r="G14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6" i="5"/>
  <c r="G35" i="5"/>
  <c r="U29" i="20" s="1"/>
  <c r="G38" i="5"/>
  <c r="U31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G29" i="13" s="1"/>
  <c r="U22" i="31" s="1"/>
  <c r="Q2" i="31"/>
  <c r="R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 s="1"/>
  <c r="P23" i="30" s="1"/>
  <c r="C7" i="12"/>
  <c r="D7" i="12"/>
  <c r="D31" i="12"/>
  <c r="R23" i="30" s="1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R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 s="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 s="1"/>
  <c r="Q22" i="28"/>
  <c r="R22" i="28"/>
  <c r="S22" i="28"/>
  <c r="T22" i="28"/>
  <c r="U22" i="28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2" i="27" s="1"/>
  <c r="D12" i="9"/>
  <c r="R5" i="27" s="1"/>
  <c r="D16" i="9"/>
  <c r="R2" i="27"/>
  <c r="E12" i="9"/>
  <c r="E16" i="9"/>
  <c r="S2" i="27" s="1"/>
  <c r="F12" i="9"/>
  <c r="T5" i="27" s="1"/>
  <c r="F16" i="9"/>
  <c r="T2" i="27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/>
  <c r="Q13" i="27" s="1"/>
  <c r="D24" i="9"/>
  <c r="R16" i="27" s="1"/>
  <c r="D28" i="9"/>
  <c r="D21" i="9" s="1"/>
  <c r="R13" i="27" s="1"/>
  <c r="E24" i="9"/>
  <c r="E28" i="9"/>
  <c r="E21" i="9"/>
  <c r="S13" i="27" s="1"/>
  <c r="F24" i="9"/>
  <c r="T16" i="27" s="1"/>
  <c r="F28" i="9"/>
  <c r="F21" i="9" s="1"/>
  <c r="T13" i="27" s="1"/>
  <c r="G24" i="9"/>
  <c r="U16" i="27" s="1"/>
  <c r="G28" i="9"/>
  <c r="G21" i="9"/>
  <c r="U13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0" i="27"/>
  <c r="S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8" i="9"/>
  <c r="B21" i="9"/>
  <c r="P14" i="27"/>
  <c r="P15" i="27"/>
  <c r="P16" i="27"/>
  <c r="P17" i="27"/>
  <c r="P18" i="27"/>
  <c r="P19" i="27"/>
  <c r="P20" i="27"/>
  <c r="P21" i="27"/>
  <c r="P22" i="27"/>
  <c r="P23" i="27"/>
  <c r="P2" i="27"/>
  <c r="A5" i="27"/>
  <c r="A4" i="27"/>
  <c r="A3" i="27"/>
  <c r="A2" i="27"/>
  <c r="C10" i="8"/>
  <c r="Q3" i="26" s="1"/>
  <c r="C19" i="8"/>
  <c r="C27" i="8"/>
  <c r="Q20" i="26" s="1"/>
  <c r="C37" i="8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F19" i="8"/>
  <c r="F27" i="8"/>
  <c r="F37" i="8"/>
  <c r="T30" i="26" s="1"/>
  <c r="R3" i="26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R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C53" i="8"/>
  <c r="C61" i="8"/>
  <c r="C71" i="8"/>
  <c r="Q63" i="26" s="1"/>
  <c r="D44" i="8"/>
  <c r="D53" i="8"/>
  <c r="D61" i="8"/>
  <c r="D71" i="8"/>
  <c r="R63" i="26" s="1"/>
  <c r="E44" i="8"/>
  <c r="E53" i="8"/>
  <c r="E61" i="8"/>
  <c r="E71" i="8"/>
  <c r="S63" i="26" s="1"/>
  <c r="F44" i="8"/>
  <c r="F53" i="8"/>
  <c r="F61" i="8"/>
  <c r="F71" i="8"/>
  <c r="Q36" i="26"/>
  <c r="R36" i="26"/>
  <c r="S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B27" i="8"/>
  <c r="P20" i="26" s="1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T2" i="25"/>
  <c r="F19" i="7"/>
  <c r="S2" i="25"/>
  <c r="E19" i="7"/>
  <c r="R2" i="25"/>
  <c r="D19" i="7"/>
  <c r="R3" i="25" s="1"/>
  <c r="Q2" i="25"/>
  <c r="C19" i="7"/>
  <c r="P2" i="25"/>
  <c r="B19" i="7"/>
  <c r="P3" i="25" s="1"/>
  <c r="T3" i="25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C150" i="6"/>
  <c r="Q142" i="24" s="1"/>
  <c r="D85" i="6"/>
  <c r="D93" i="6"/>
  <c r="D103" i="6"/>
  <c r="D113" i="6"/>
  <c r="D123" i="6"/>
  <c r="D133" i="6"/>
  <c r="D146" i="6"/>
  <c r="D150" i="6"/>
  <c r="E85" i="6"/>
  <c r="E93" i="6"/>
  <c r="E103" i="6"/>
  <c r="E113" i="6"/>
  <c r="S105" i="24" s="1"/>
  <c r="E123" i="6"/>
  <c r="E133" i="6"/>
  <c r="S125" i="24" s="1"/>
  <c r="E146" i="6"/>
  <c r="E150" i="6"/>
  <c r="S142" i="24" s="1"/>
  <c r="F85" i="6"/>
  <c r="F93" i="6"/>
  <c r="F103" i="6"/>
  <c r="F113" i="6"/>
  <c r="F123" i="6"/>
  <c r="F133" i="6"/>
  <c r="F146" i="6"/>
  <c r="F150" i="6"/>
  <c r="Q77" i="24"/>
  <c r="R77" i="24"/>
  <c r="S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T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Q3" i="24"/>
  <c r="C18" i="6"/>
  <c r="C28" i="6"/>
  <c r="C38" i="6"/>
  <c r="C48" i="6"/>
  <c r="Q41" i="24" s="1"/>
  <c r="C58" i="6"/>
  <c r="C71" i="6"/>
  <c r="C75" i="6"/>
  <c r="Q68" i="24" s="1"/>
  <c r="R3" i="24"/>
  <c r="D18" i="6"/>
  <c r="R11" i="24" s="1"/>
  <c r="D28" i="6"/>
  <c r="R21" i="24" s="1"/>
  <c r="D38" i="6"/>
  <c r="R31" i="24" s="1"/>
  <c r="D48" i="6"/>
  <c r="R41" i="24" s="1"/>
  <c r="D58" i="6"/>
  <c r="R51" i="24" s="1"/>
  <c r="D71" i="6"/>
  <c r="D75" i="6"/>
  <c r="E18" i="6"/>
  <c r="S11" i="24" s="1"/>
  <c r="E28" i="6"/>
  <c r="S21" i="24" s="1"/>
  <c r="E38" i="6"/>
  <c r="S31" i="24" s="1"/>
  <c r="E48" i="6"/>
  <c r="S41" i="24" s="1"/>
  <c r="E58" i="6"/>
  <c r="E71" i="6"/>
  <c r="E75" i="6"/>
  <c r="S68" i="24" s="1"/>
  <c r="T3" i="24"/>
  <c r="F18" i="6"/>
  <c r="F28" i="6"/>
  <c r="T21" i="24" s="1"/>
  <c r="F38" i="6"/>
  <c r="F48" i="6"/>
  <c r="F58" i="6"/>
  <c r="T51" i="24" s="1"/>
  <c r="F71" i="6"/>
  <c r="F75" i="6"/>
  <c r="G28" i="6"/>
  <c r="U21" i="24" s="1"/>
  <c r="G58" i="6"/>
  <c r="B85" i="6"/>
  <c r="B93" i="6"/>
  <c r="B103" i="6"/>
  <c r="B113" i="6"/>
  <c r="B123" i="6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T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Q22" i="24"/>
  <c r="R22" i="24"/>
  <c r="S22" i="24"/>
  <c r="T22" i="24"/>
  <c r="U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6" i="5"/>
  <c r="U38" i="20" s="1"/>
  <c r="G47" i="5"/>
  <c r="G48" i="5"/>
  <c r="U40" i="20" s="1"/>
  <c r="G49" i="5"/>
  <c r="G50" i="5"/>
  <c r="U42" i="20" s="1"/>
  <c r="G51" i="5"/>
  <c r="G52" i="5"/>
  <c r="U44" i="20" s="1"/>
  <c r="G53" i="5"/>
  <c r="G45" i="5"/>
  <c r="U37" i="20" s="1"/>
  <c r="U39" i="20"/>
  <c r="U41" i="20"/>
  <c r="U43" i="20"/>
  <c r="U45" i="20"/>
  <c r="G55" i="5"/>
  <c r="U47" i="20" s="1"/>
  <c r="G56" i="5"/>
  <c r="G57" i="5"/>
  <c r="U49" i="20" s="1"/>
  <c r="G58" i="5"/>
  <c r="G54" i="5"/>
  <c r="U46" i="20" s="1"/>
  <c r="U48" i="20"/>
  <c r="U50" i="20"/>
  <c r="G60" i="5"/>
  <c r="G61" i="5"/>
  <c r="G59" i="5" s="1"/>
  <c r="U51" i="20" s="1"/>
  <c r="U52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P46" i="20" s="1"/>
  <c r="B59" i="5"/>
  <c r="B65" i="5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4"/>
  <c r="F19" i="1"/>
  <c r="D20" i="23"/>
  <c r="F18" i="23"/>
  <c r="K6" i="3" s="1"/>
  <c r="E18" i="23"/>
  <c r="J6" i="3" s="1"/>
  <c r="D18" i="23"/>
  <c r="I6" i="3" s="1"/>
  <c r="E6" i="1"/>
  <c r="B6" i="1"/>
  <c r="F5" i="13"/>
  <c r="E5" i="13"/>
  <c r="D5" i="13"/>
  <c r="C5" i="13"/>
  <c r="B5" i="13"/>
  <c r="E5" i="12"/>
  <c r="D5" i="12"/>
  <c r="C5" i="12"/>
  <c r="B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E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H14" i="3"/>
  <c r="V4" i="17" s="1"/>
  <c r="G14" i="3"/>
  <c r="E14" i="3"/>
  <c r="S4" i="17" s="1"/>
  <c r="K8" i="3"/>
  <c r="J8" i="3"/>
  <c r="X3" i="17" s="1"/>
  <c r="H8" i="3"/>
  <c r="G8" i="3"/>
  <c r="E8" i="3"/>
  <c r="S3" i="17" s="1"/>
  <c r="F41" i="2"/>
  <c r="T17" i="16" s="1"/>
  <c r="E41" i="2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B27" i="2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B55" i="4"/>
  <c r="B53" i="4"/>
  <c r="P30" i="18" s="1"/>
  <c r="B49" i="4"/>
  <c r="B48" i="4"/>
  <c r="P26" i="18" s="1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27" i="18"/>
  <c r="P28" i="18"/>
  <c r="P29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19" i="1"/>
  <c r="E23" i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47" i="1" s="1"/>
  <c r="Q42" i="15" s="1"/>
  <c r="C25" i="1"/>
  <c r="Q20" i="15" s="1"/>
  <c r="C31" i="1"/>
  <c r="C38" i="1"/>
  <c r="Q34" i="15" s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4" i="17"/>
  <c r="C70" i="4"/>
  <c r="Q37" i="18" s="1"/>
  <c r="D70" i="4"/>
  <c r="C68" i="4"/>
  <c r="Q36" i="18" s="1"/>
  <c r="D68" i="4"/>
  <c r="C64" i="4"/>
  <c r="D64" i="4"/>
  <c r="C63" i="4"/>
  <c r="C72" i="4" s="1"/>
  <c r="D63" i="4"/>
  <c r="C48" i="4"/>
  <c r="Q26" i="18" s="1"/>
  <c r="C55" i="4"/>
  <c r="D55" i="4"/>
  <c r="R31" i="18" s="1"/>
  <c r="C53" i="4"/>
  <c r="Q30" i="18" s="1"/>
  <c r="D53" i="4"/>
  <c r="D48" i="4"/>
  <c r="R26" i="18" s="1"/>
  <c r="C49" i="4"/>
  <c r="Q27" i="18" s="1"/>
  <c r="D49" i="4"/>
  <c r="C29" i="4"/>
  <c r="Q15" i="18" s="1"/>
  <c r="D29" i="4"/>
  <c r="C40" i="4"/>
  <c r="Q22" i="18" s="1"/>
  <c r="D40" i="4"/>
  <c r="C37" i="4"/>
  <c r="D37" i="4"/>
  <c r="C17" i="4"/>
  <c r="C13" i="4"/>
  <c r="Q6" i="18" s="1"/>
  <c r="D13" i="4"/>
  <c r="R6" i="18" s="1"/>
  <c r="U4" i="17"/>
  <c r="W3" i="17"/>
  <c r="S17" i="16"/>
  <c r="Q17" i="16"/>
  <c r="P17" i="16"/>
  <c r="S15" i="16"/>
  <c r="P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R27" i="18"/>
  <c r="R32" i="18"/>
  <c r="R36" i="18"/>
  <c r="Q9" i="18"/>
  <c r="Q32" i="18"/>
  <c r="R19" i="18"/>
  <c r="R15" i="18"/>
  <c r="Q31" i="18"/>
  <c r="D72" i="4"/>
  <c r="R38" i="18" s="1"/>
  <c r="R33" i="18"/>
  <c r="R37" i="18"/>
  <c r="Q19" i="18"/>
  <c r="Q33" i="18"/>
  <c r="G8" i="2"/>
  <c r="U3" i="16" s="1"/>
  <c r="S14" i="16"/>
  <c r="D44" i="4"/>
  <c r="D11" i="4" s="1"/>
  <c r="C44" i="4"/>
  <c r="C11" i="4" s="1"/>
  <c r="H8" i="2"/>
  <c r="H20" i="2" s="1"/>
  <c r="V13" i="16" s="1"/>
  <c r="R25" i="18"/>
  <c r="D74" i="4"/>
  <c r="R39" i="18" s="1"/>
  <c r="Q25" i="18"/>
  <c r="G20" i="2"/>
  <c r="U13" i="16" s="1"/>
  <c r="Q67" i="15"/>
  <c r="V3" i="17"/>
  <c r="U2" i="25"/>
  <c r="B47" i="1" l="1"/>
  <c r="F70" i="5"/>
  <c r="J20" i="3"/>
  <c r="X5" i="17" s="1"/>
  <c r="K20" i="3"/>
  <c r="Y5" i="17" s="1"/>
  <c r="I20" i="3"/>
  <c r="W5" i="17" s="1"/>
  <c r="U3" i="27"/>
  <c r="G9" i="9"/>
  <c r="U42" i="24"/>
  <c r="S3" i="24"/>
  <c r="E9" i="6"/>
  <c r="U3" i="24"/>
  <c r="G20" i="3"/>
  <c r="U5" i="17" s="1"/>
  <c r="U2" i="31"/>
  <c r="T2" i="30"/>
  <c r="G38" i="6"/>
  <c r="U31" i="24" s="1"/>
  <c r="D57" i="4"/>
  <c r="D59" i="4" s="1"/>
  <c r="C62" i="1"/>
  <c r="Q54" i="15" s="1"/>
  <c r="A2" i="14"/>
  <c r="A2" i="2"/>
  <c r="A2" i="7"/>
  <c r="D29" i="7"/>
  <c r="R4" i="25" s="1"/>
  <c r="T2" i="31"/>
  <c r="P2" i="30"/>
  <c r="C32" i="10"/>
  <c r="Q23" i="28" s="1"/>
  <c r="T20" i="27"/>
  <c r="R20" i="27"/>
  <c r="F33" i="9"/>
  <c r="T24" i="27" s="1"/>
  <c r="D33" i="9"/>
  <c r="R24" i="27" s="1"/>
  <c r="G12" i="9"/>
  <c r="F43" i="8"/>
  <c r="E43" i="8"/>
  <c r="S35" i="26" s="1"/>
  <c r="D43" i="8"/>
  <c r="C43" i="8"/>
  <c r="Q35" i="26" s="1"/>
  <c r="B43" i="8"/>
  <c r="P35" i="26" s="1"/>
  <c r="U48" i="26"/>
  <c r="R45" i="26"/>
  <c r="U36" i="26"/>
  <c r="G43" i="8"/>
  <c r="U35" i="26" s="1"/>
  <c r="U38" i="26"/>
  <c r="G37" i="8"/>
  <c r="U30" i="26" s="1"/>
  <c r="F9" i="8"/>
  <c r="T2" i="26" s="1"/>
  <c r="E9" i="8"/>
  <c r="S2" i="26" s="1"/>
  <c r="D9" i="8"/>
  <c r="R2" i="26" s="1"/>
  <c r="C9" i="8"/>
  <c r="Q2" i="26" s="1"/>
  <c r="Q12" i="26"/>
  <c r="P2" i="26"/>
  <c r="U3" i="25"/>
  <c r="G29" i="7"/>
  <c r="U4" i="25" s="1"/>
  <c r="B29" i="7"/>
  <c r="P4" i="25" s="1"/>
  <c r="C29" i="7"/>
  <c r="Q4" i="25" s="1"/>
  <c r="E29" i="7"/>
  <c r="S4" i="25" s="1"/>
  <c r="F29" i="7"/>
  <c r="T4" i="25" s="1"/>
  <c r="U141" i="24"/>
  <c r="B84" i="6"/>
  <c r="P76" i="24" s="1"/>
  <c r="F84" i="6"/>
  <c r="T76" i="24" s="1"/>
  <c r="E84" i="6"/>
  <c r="S76" i="24" s="1"/>
  <c r="D84" i="6"/>
  <c r="R76" i="24" s="1"/>
  <c r="C84" i="6"/>
  <c r="Q76" i="24" s="1"/>
  <c r="P85" i="24"/>
  <c r="S85" i="24"/>
  <c r="Q85" i="24"/>
  <c r="E159" i="6"/>
  <c r="S150" i="24" s="1"/>
  <c r="C9" i="6"/>
  <c r="C159" i="6" s="1"/>
  <c r="U32" i="24"/>
  <c r="F9" i="6"/>
  <c r="F159" i="6" s="1"/>
  <c r="T150" i="24" s="1"/>
  <c r="Q11" i="24"/>
  <c r="D9" i="6"/>
  <c r="D159" i="6" s="1"/>
  <c r="G75" i="5"/>
  <c r="U62" i="20" s="1"/>
  <c r="U53" i="20"/>
  <c r="G65" i="5"/>
  <c r="U56" i="20" s="1"/>
  <c r="D70" i="5"/>
  <c r="B41" i="5"/>
  <c r="P34" i="20" s="1"/>
  <c r="P10" i="20"/>
  <c r="C70" i="5"/>
  <c r="E70" i="5"/>
  <c r="C57" i="4"/>
  <c r="C59" i="4" s="1"/>
  <c r="B44" i="4"/>
  <c r="R30" i="18"/>
  <c r="B72" i="4"/>
  <c r="B74" i="4" s="1"/>
  <c r="P39" i="18" s="1"/>
  <c r="B57" i="4"/>
  <c r="B59" i="4" s="1"/>
  <c r="H20" i="3"/>
  <c r="V5" i="17" s="1"/>
  <c r="U3" i="17"/>
  <c r="Y3" i="17"/>
  <c r="E20" i="3"/>
  <c r="S5" i="17" s="1"/>
  <c r="V3" i="16"/>
  <c r="F8" i="2"/>
  <c r="T13" i="16" s="1"/>
  <c r="B8" i="2"/>
  <c r="P13" i="16" s="1"/>
  <c r="P3" i="16"/>
  <c r="E8" i="2"/>
  <c r="E20" i="2" s="1"/>
  <c r="S13" i="16" s="1"/>
  <c r="F79" i="1"/>
  <c r="Q119" i="15" s="1"/>
  <c r="E79" i="1"/>
  <c r="P119" i="15" s="1"/>
  <c r="F47" i="1"/>
  <c r="F59" i="1" s="1"/>
  <c r="F81" i="1" s="1"/>
  <c r="Q120" i="15" s="1"/>
  <c r="E47" i="1"/>
  <c r="P95" i="15" s="1"/>
  <c r="B62" i="1"/>
  <c r="P54" i="15" s="1"/>
  <c r="A2" i="10"/>
  <c r="C6" i="10"/>
  <c r="G6" i="10"/>
  <c r="F6" i="1"/>
  <c r="A2" i="1"/>
  <c r="A2" i="3"/>
  <c r="A2" i="5"/>
  <c r="A2" i="8"/>
  <c r="A2" i="12"/>
  <c r="Q38" i="18"/>
  <c r="C74" i="4"/>
  <c r="Q39" i="18" s="1"/>
  <c r="Q5" i="18"/>
  <c r="C8" i="4"/>
  <c r="P38" i="18"/>
  <c r="D8" i="4"/>
  <c r="R5" i="18"/>
  <c r="E59" i="1"/>
  <c r="E81" i="1" s="1"/>
  <c r="T2" i="24"/>
  <c r="T35" i="26"/>
  <c r="F77" i="8"/>
  <c r="T68" i="26" s="1"/>
  <c r="R35" i="26"/>
  <c r="S3" i="16"/>
  <c r="T3" i="16"/>
  <c r="C8" i="2"/>
  <c r="D8" i="2"/>
  <c r="P57" i="15"/>
  <c r="P106" i="15"/>
  <c r="P33" i="18"/>
  <c r="R2" i="24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A2" i="11"/>
  <c r="B6" i="10"/>
  <c r="D6" i="10"/>
  <c r="F6" i="10"/>
  <c r="P22" i="20"/>
  <c r="U58" i="20"/>
  <c r="Q3" i="25"/>
  <c r="S3" i="25"/>
  <c r="S45" i="26"/>
  <c r="Q45" i="26"/>
  <c r="T12" i="26"/>
  <c r="R12" i="26"/>
  <c r="P13" i="27"/>
  <c r="B33" i="9"/>
  <c r="P24" i="27" s="1"/>
  <c r="E33" i="9"/>
  <c r="S24" i="27" s="1"/>
  <c r="C33" i="9"/>
  <c r="Q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G19" i="8"/>
  <c r="U12" i="26" s="1"/>
  <c r="A2" i="9"/>
  <c r="E77" i="8" l="1"/>
  <c r="S68" i="26" s="1"/>
  <c r="Q2" i="24"/>
  <c r="B70" i="5"/>
  <c r="D77" i="8"/>
  <c r="R68" i="26" s="1"/>
  <c r="C77" i="8"/>
  <c r="Q68" i="26" s="1"/>
  <c r="B77" i="8"/>
  <c r="P68" i="26" s="1"/>
  <c r="S2" i="24"/>
  <c r="Q104" i="15"/>
  <c r="Q95" i="15"/>
  <c r="P42" i="15"/>
  <c r="U5" i="27"/>
  <c r="Q150" i="24"/>
  <c r="R150" i="24"/>
  <c r="B11" i="4"/>
  <c r="P25" i="18"/>
  <c r="Q3" i="16"/>
  <c r="C20" i="2"/>
  <c r="Q13" i="16" s="1"/>
  <c r="G41" i="5"/>
  <c r="Q2" i="18"/>
  <c r="P2" i="24"/>
  <c r="P150" i="24"/>
  <c r="U55" i="24"/>
  <c r="G9" i="6"/>
  <c r="G9" i="8"/>
  <c r="U3" i="26"/>
  <c r="R3" i="16"/>
  <c r="D20" i="2"/>
  <c r="R13" i="16" s="1"/>
  <c r="G84" i="6"/>
  <c r="U76" i="24" s="1"/>
  <c r="P120" i="15"/>
  <c r="P104" i="15"/>
  <c r="R2" i="18"/>
  <c r="D21" i="4"/>
  <c r="U2" i="27" l="1"/>
  <c r="G33" i="9"/>
  <c r="U24" i="27" s="1"/>
  <c r="P5" i="18"/>
  <c r="B8" i="4"/>
  <c r="D23" i="4"/>
  <c r="R12" i="18"/>
  <c r="U2" i="26"/>
  <c r="G77" i="8"/>
  <c r="U68" i="26" s="1"/>
  <c r="C23" i="4"/>
  <c r="Q12" i="18"/>
  <c r="G159" i="6"/>
  <c r="U150" i="24" s="1"/>
  <c r="U2" i="24"/>
  <c r="G42" i="5"/>
  <c r="U35" i="20" s="1"/>
  <c r="U34" i="20"/>
  <c r="G70" i="5"/>
  <c r="P2" i="18" l="1"/>
  <c r="C25" i="4"/>
  <c r="Q13" i="18"/>
  <c r="D25" i="4"/>
  <c r="R13" i="18"/>
  <c r="B23" i="4" l="1"/>
  <c r="P12" i="18"/>
  <c r="R14" i="18"/>
  <c r="D33" i="4"/>
  <c r="R18" i="18" s="1"/>
  <c r="C33" i="4"/>
  <c r="Q18" i="18" s="1"/>
  <c r="Q14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<sst xmlns="http://schemas.openxmlformats.org/spreadsheetml/2006/main" count="4243" uniqueCount="3305">
  <si>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</si>
  <si>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</si>
  <si>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</si>
  <si>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</si>
  <si>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</si>
  <si>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</si>
  <si>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</si>
  <si>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</si>
  <si>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</si>
  <si>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</si>
  <si>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</si>
  <si>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</si>
  <si>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</si>
  <si>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</si>
  <si>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</si>
  <si>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</si>
  <si>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</si>
  <si>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</si>
  <si>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</si>
  <si>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</si>
  <si>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</si>
  <si>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</si>
  <si>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</si>
  <si>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</si>
  <si>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</si>
  <si>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</si>
  <si>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</si>
  <si>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</si>
  <si>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</si>
  <si>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</si>
  <si>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</si>
  <si>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</si>
  <si>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</si>
  <si>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</si>
  <si>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</si>
  <si>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</si>
  <si>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</si>
  <si>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</si>
  <si>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</si>
  <si>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</si>
  <si>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</si>
  <si>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</si>
  <si>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</si>
  <si>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</si>
  <si>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</si>
  <si>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</si>
  <si>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</si>
  <si>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</si>
  <si>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</si>
  <si>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</si>
  <si>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</si>
  <si>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</si>
  <si>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</si>
  <si>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</si>
  <si>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</si>
  <si>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</si>
  <si>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</si>
  <si>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</si>
  <si>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</si>
  <si>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</si>
  <si>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</si>
  <si>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</si>
  <si>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</si>
  <si>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</si>
  <si>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</si>
  <si>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</si>
  <si>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</si>
  <si>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</si>
  <si>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</si>
  <si>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</si>
  <si>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</si>
  <si>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</si>
  <si>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</si>
  <si>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</si>
  <si>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</si>
  <si>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</si>
  <si>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</si>
  <si>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</si>
  <si>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</si>
  <si>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</si>
  <si>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</si>
  <si>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</si>
  <si>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</si>
  <si>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</si>
  <si>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</si>
  <si>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</si>
  <si>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</si>
  <si>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</si>
  <si>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</si>
  <si>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</si>
  <si>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</si>
  <si>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</si>
  <si>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</si>
  <si>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</si>
  <si>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</si>
  <si>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</si>
  <si>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</si>
  <si>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</si>
  <si>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</si>
  <si>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</si>
  <si>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</si>
  <si>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</si>
  <si>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</si>
  <si>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</si>
  <si>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</si>
  <si>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</si>
  <si>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</si>
  <si>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</si>
  <si>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</si>
  <si>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</si>
  <si>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</si>
  <si>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</si>
  <si>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</si>
  <si>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</si>
  <si>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</si>
  <si>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</si>
  <si>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</si>
  <si>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</si>
  <si>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</si>
  <si>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</si>
  <si>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</si>
  <si>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</si>
  <si>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</si>
  <si>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</si>
  <si>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</si>
  <si>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</si>
  <si>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</si>
  <si>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</si>
  <si>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</si>
  <si>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</si>
  <si>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</si>
  <si>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</si>
  <si>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</si>
  <si>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</si>
  <si>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</si>
  <si>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</si>
  <si>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</si>
  <si>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</si>
  <si>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</si>
  <si>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</si>
  <si>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</si>
  <si>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</si>
  <si>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</si>
  <si>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</si>
  <si>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</si>
  <si>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</si>
  <si>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</si>
  <si>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</si>
  <si>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</si>
  <si>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</si>
  <si>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</si>
  <si>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</si>
  <si>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</si>
  <si>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</si>
  <si>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</si>
  <si>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</si>
  <si>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</si>
  <si>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</si>
  <si>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</si>
  <si>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</si>
  <si>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</si>
  <si>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</si>
  <si>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</si>
  <si>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</si>
  <si>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</si>
  <si>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</si>
  <si>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</si>
  <si>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</si>
  <si>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</si>
  <si>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</si>
  <si>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</si>
  <si>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</si>
  <si>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</si>
  <si>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</si>
  <si>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</si>
  <si>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</si>
  <si>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</si>
  <si>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</si>
  <si>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</si>
  <si>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</si>
  <si>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</si>
  <si>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</si>
  <si>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</si>
  <si>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</si>
  <si>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</si>
  <si>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</si>
  <si>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</si>
  <si>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</si>
  <si>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</si>
  <si>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</si>
  <si>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</si>
  <si>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</si>
  <si>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</si>
  <si>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</si>
  <si>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</si>
  <si>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</si>
  <si>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</si>
  <si>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</si>
  <si>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</si>
  <si>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</si>
  <si>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</si>
  <si>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</si>
  <si>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</si>
  <si>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</si>
  <si>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</si>
  <si>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</si>
  <si>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</si>
  <si>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</si>
  <si>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</si>
  <si>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</si>
  <si>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</si>
  <si>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</si>
  <si>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</si>
  <si>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</si>
  <si>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</si>
  <si>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</si>
  <si>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</si>
  <si>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</si>
  <si>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</si>
  <si>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</si>
  <si>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</si>
  <si>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</si>
  <si>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</si>
  <si>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</si>
  <si>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</si>
  <si>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</si>
  <si>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</si>
  <si>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</si>
  <si>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</si>
  <si>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</si>
  <si>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</si>
  <si>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</si>
  <si>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</si>
  <si>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</si>
  <si>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</si>
  <si>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</si>
  <si>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</si>
  <si>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</si>
  <si>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</si>
  <si>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</si>
  <si>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</si>
  <si>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</si>
  <si>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</si>
  <si>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</si>
  <si>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</si>
  <si>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</si>
  <si>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</si>
  <si>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</si>
  <si>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</si>
  <si>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</si>
  <si>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</si>
  <si>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</si>
  <si>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</si>
  <si>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</si>
  <si>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</si>
  <si>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</si>
  <si>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</si>
  <si>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</si>
  <si>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</si>
  <si>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</si>
  <si>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</si>
  <si>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</si>
  <si>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</si>
  <si>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</si>
  <si>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</si>
  <si>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</si>
  <si>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</si>
  <si>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</si>
  <si>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</si>
  <si>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</si>
  <si>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</si>
  <si>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</si>
  <si>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</si>
  <si>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</si>
  <si>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</si>
  <si>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</si>
  <si>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</si>
  <si>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</si>
  <si>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</si>
  <si>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</si>
  <si>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</si>
  <si>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</si>
  <si>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</si>
  <si>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</si>
  <si>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</si>
  <si>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</si>
  <si>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</si>
  <si>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</si>
  <si>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</si>
  <si>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</si>
  <si>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</si>
  <si>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</si>
  <si>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</si>
  <si>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</si>
  <si>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</si>
  <si>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</si>
  <si>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</si>
  <si>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</si>
  <si>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</si>
  <si>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</si>
  <si>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</si>
  <si>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</si>
  <si>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</si>
  <si>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</si>
  <si>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</si>
  <si>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</si>
  <si>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</si>
  <si>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</si>
  <si>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</si>
  <si>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</si>
  <si>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</si>
  <si>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</si>
  <si>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</si>
  <si>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</si>
  <si>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</si>
  <si>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</si>
  <si>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</si>
  <si>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</si>
  <si>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</si>
  <si>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</si>
  <si>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</si>
  <si>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</si>
  <si>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</si>
  <si>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</si>
  <si>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</si>
  <si>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</si>
  <si>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</si>
  <si>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</si>
  <si>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</si>
  <si>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</si>
  <si>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</si>
  <si>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</si>
  <si>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</si>
  <si>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</si>
  <si>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</si>
  <si>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</si>
  <si>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</si>
  <si>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</si>
  <si>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</si>
  <si>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</si>
  <si>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</si>
  <si>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</si>
  <si>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</si>
  <si>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</si>
  <si>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</si>
  <si>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</si>
  <si>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</si>
  <si>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</si>
  <si>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</si>
  <si>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</si>
  <si>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</si>
  <si>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</si>
  <si>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</si>
  <si>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</si>
  <si>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</si>
  <si>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</si>
  <si>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</si>
  <si>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</si>
  <si>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</si>
  <si>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</si>
  <si>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</si>
  <si>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</si>
  <si>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</si>
  <si>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</si>
  <si>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</si>
  <si>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</si>
  <si>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</si>
  <si>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</si>
  <si>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</si>
  <si>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</si>
  <si>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</si>
  <si>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</si>
  <si>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</si>
  <si>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</si>
  <si>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</si>
  <si>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</si>
  <si>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</si>
  <si>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</si>
  <si>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</si>
  <si>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</si>
  <si>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</si>
  <si>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</si>
  <si>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</si>
  <si>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</si>
  <si>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</si>
  <si>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</si>
  <si>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</si>
  <si>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</si>
  <si>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</si>
  <si>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</si>
  <si>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</si>
  <si>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</si>
  <si>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</si>
  <si>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</si>
  <si>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</si>
  <si>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</si>
  <si>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</si>
  <si>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</si>
  <si>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</si>
  <si>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</si>
  <si>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</si>
  <si>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</si>
  <si>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</si>
  <si>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</si>
  <si>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</si>
  <si>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</si>
  <si>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</si>
  <si>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</si>
  <si>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</si>
  <si>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</si>
  <si>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</si>
  <si>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</si>
  <si>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</si>
  <si>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</si>
  <si>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</si>
  <si>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</si>
  <si>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</si>
  <si>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</si>
  <si>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</si>
  <si>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</si>
  <si>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</si>
  <si>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</si>
  <si>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</si>
  <si>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</si>
  <si>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</si>
  <si>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</si>
  <si>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</si>
  <si>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</si>
  <si>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</si>
  <si>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</si>
  <si>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</si>
  <si>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</si>
  <si>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</si>
  <si>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</si>
  <si>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</si>
  <si>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</si>
  <si>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</si>
  <si>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</si>
  <si>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</si>
  <si>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</si>
  <si>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</si>
  <si>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</si>
  <si>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</si>
  <si>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</si>
  <si>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</si>
  <si>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</si>
  <si>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</si>
  <si>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</si>
  <si>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</si>
  <si>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</si>
  <si>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</si>
  <si>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</si>
  <si>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</si>
  <si>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</si>
  <si>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</si>
  <si>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</si>
  <si>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</si>
  <si>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</si>
  <si>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</si>
  <si>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</si>
  <si>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</si>
  <si>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</si>
  <si>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</si>
  <si>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</si>
  <si>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</si>
  <si>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</si>
  <si>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</si>
  <si>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</si>
  <si>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</si>
  <si>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</si>
  <si>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</si>
  <si>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</si>
  <si>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</si>
  <si>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</si>
  <si>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</si>
  <si>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</si>
  <si>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</si>
  <si>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</si>
  <si>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</si>
  <si>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</si>
  <si>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</si>
  <si>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</si>
  <si>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</si>
  <si>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</si>
  <si>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</si>
  <si>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</si>
  <si>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</si>
  <si>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</si>
  <si>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</si>
  <si>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</si>
  <si>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</si>
  <si>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</si>
  <si>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</si>
  <si>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</si>
  <si>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</si>
  <si>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</si>
  <si>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</si>
  <si>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</si>
  <si>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</si>
  <si>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</si>
  <si>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</si>
  <si>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</si>
  <si>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</si>
  <si>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</si>
  <si>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</si>
  <si>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</si>
  <si>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</si>
  <si>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</si>
  <si>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</si>
  <si>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</si>
  <si>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</si>
  <si>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</si>
  <si>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</si>
  <si>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</si>
  <si>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</si>
  <si>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</si>
  <si>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</si>
  <si>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</si>
  <si>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</si>
  <si>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</si>
  <si>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</si>
  <si>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</si>
  <si>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</si>
  <si>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</si>
  <si>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</si>
  <si>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</si>
  <si>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</si>
  <si>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</si>
  <si>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</si>
  <si>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</si>
  <si>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</si>
  <si>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</si>
  <si>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</si>
  <si>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</si>
  <si>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</si>
  <si>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</si>
  <si>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</si>
  <si>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</si>
  <si>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</si>
  <si>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</si>
  <si>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</si>
  <si>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</si>
  <si>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</si>
  <si>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</si>
  <si>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</si>
  <si>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</si>
  <si>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</si>
  <si>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</si>
  <si>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</si>
  <si>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</si>
  <si>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</si>
  <si>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</si>
  <si>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</si>
  <si>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</si>
  <si>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</si>
  <si>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</si>
  <si>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</si>
  <si>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</si>
  <si>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</si>
  <si>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</si>
  <si>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</si>
  <si>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</si>
  <si>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</si>
  <si>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</si>
  <si>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</si>
  <si>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</si>
  <si>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</si>
  <si>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</si>
  <si>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</si>
  <si>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</si>
  <si>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</si>
  <si>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</si>
  <si>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</si>
  <si>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</si>
  <si>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</si>
  <si>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</si>
  <si>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</si>
  <si>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</si>
  <si>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</si>
  <si>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</si>
  <si>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</si>
  <si>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</si>
  <si>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</si>
  <si>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</si>
  <si>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</si>
  <si>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</si>
  <si>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</si>
  <si>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</si>
  <si>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</si>
  <si>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</si>
  <si>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</si>
  <si>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</si>
  <si>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</si>
  <si>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</si>
  <si>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</si>
  <si>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</si>
  <si>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</si>
  <si>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</si>
  <si>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</si>
  <si>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</si>
  <si>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</si>
  <si>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</si>
  <si>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</si>
  <si>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</si>
  <si>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</si>
  <si>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</si>
  <si>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</si>
  <si>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</si>
  <si>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</si>
  <si>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</si>
  <si>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</si>
  <si>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</si>
  <si>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</si>
  <si>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</si>
  <si>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</si>
  <si>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</si>
  <si>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</si>
  <si>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</si>
  <si>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</si>
  <si>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</si>
  <si>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</si>
  <si>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</si>
  <si>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</si>
  <si>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</si>
  <si>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</si>
  <si>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</si>
  <si>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</si>
  <si>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</si>
  <si>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</si>
  <si>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</si>
  <si>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</si>
  <si>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</si>
  <si>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</si>
  <si>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</si>
  <si>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</si>
  <si>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</si>
  <si>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</si>
  <si>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</si>
  <si>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</si>
  <si>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</si>
  <si>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</si>
  <si>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</si>
  <si>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</si>
  <si>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</si>
  <si>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</si>
  <si>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</si>
  <si>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</si>
  <si>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</si>
  <si>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</si>
  <si>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</si>
  <si>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</si>
  <si>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</si>
  <si>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</si>
  <si>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</si>
  <si>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</si>
  <si>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</si>
  <si>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</si>
  <si>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</si>
  <si>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</si>
  <si>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</si>
  <si>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</si>
  <si>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</si>
  <si>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</si>
  <si>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</si>
  <si>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</si>
  <si>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</si>
  <si>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</si>
  <si>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</si>
  <si>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</si>
  <si>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</si>
  <si>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</si>
  <si>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</si>
  <si>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</si>
  <si>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</si>
  <si>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</si>
  <si>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</si>
  <si>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</si>
  <si>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</si>
  <si>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</si>
  <si>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</si>
  <si>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</si>
  <si>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</si>
  <si>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</si>
  <si>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</si>
  <si>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</si>
  <si>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</si>
  <si>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</si>
  <si>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</si>
  <si>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</si>
  <si>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</si>
  <si>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</si>
  <si>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</si>
  <si>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</si>
  <si>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</si>
  <si>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</si>
  <si>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</si>
  <si>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</si>
  <si>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</si>
  <si>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</si>
  <si>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</si>
  <si>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</si>
  <si>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</si>
  <si>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</si>
  <si>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</si>
  <si>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</si>
  <si>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</si>
  <si>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</si>
  <si>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</si>
  <si>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</si>
  <si>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</si>
  <si>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</si>
  <si>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</si>
  <si>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</si>
  <si>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</si>
  <si>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</si>
  <si>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</si>
  <si>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</si>
  <si>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</si>
  <si>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</si>
  <si>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</si>
  <si>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</si>
  <si>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</si>
  <si>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</si>
  <si>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</si>
  <si>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</si>
  <si>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</si>
  <si>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</si>
  <si>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</si>
  <si>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</si>
  <si>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</si>
  <si>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</si>
  <si>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</si>
  <si>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</si>
  <si>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</si>
  <si>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</si>
  <si>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</si>
  <si>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</si>
  <si>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</si>
  <si>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</si>
  <si>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</si>
  <si>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</si>
  <si>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</si>
  <si>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</si>
  <si>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</si>
  <si>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</si>
  <si>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</si>
  <si>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</si>
  <si>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</si>
  <si>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</si>
  <si>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</si>
  <si>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</si>
  <si>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</si>
  <si>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</si>
  <si>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</si>
  <si>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</si>
  <si>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</si>
  <si>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</si>
  <si>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</si>
  <si>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</si>
  <si>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</si>
  <si>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</si>
  <si>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</si>
  <si>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</si>
  <si>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</si>
  <si>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</si>
  <si>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</si>
  <si>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</si>
  <si>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</si>
  <si>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</si>
  <si>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</si>
  <si>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</si>
  <si>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</si>
  <si>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</si>
  <si>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</si>
  <si>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</si>
  <si>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</si>
  <si>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</si>
  <si>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</si>
  <si>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</si>
  <si>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</si>
  <si>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</si>
  <si>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</si>
  <si>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</si>
  <si>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</si>
  <si>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</si>
  <si>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</si>
  <si>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</si>
  <si>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</si>
  <si>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</si>
  <si>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</si>
  <si>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</si>
  <si>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</si>
  <si>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</si>
  <si>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</si>
  <si>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</si>
  <si>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</si>
  <si>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</si>
  <si>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</si>
  <si>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</si>
  <si>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</si>
  <si>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</si>
  <si>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</si>
  <si>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</si>
  <si>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</si>
  <si>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</si>
  <si>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</si>
  <si>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</si>
  <si>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</si>
  <si>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</si>
  <si>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</si>
  <si>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</si>
  <si>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</si>
  <si>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</si>
  <si>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</si>
  <si>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</si>
  <si>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</si>
  <si>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</si>
  <si>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</si>
  <si>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</si>
  <si>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</si>
  <si>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</si>
  <si>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</si>
  <si>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</si>
  <si>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</si>
  <si>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</si>
  <si>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</si>
  <si>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</si>
  <si>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</si>
  <si>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</si>
  <si>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</si>
  <si>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</si>
  <si>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</si>
  <si>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</si>
  <si>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</si>
  <si>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</si>
  <si>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</si>
  <si>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</si>
  <si>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</si>
  <si>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</si>
  <si>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</si>
  <si>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</si>
  <si>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</si>
  <si>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</si>
  <si>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</si>
  <si>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</si>
  <si>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</si>
  <si>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</si>
  <si>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</si>
  <si>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</si>
  <si>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</si>
  <si>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</si>
  <si>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</si>
  <si>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</si>
  <si>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</si>
  <si>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</si>
  <si>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</si>
  <si>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</si>
  <si>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</si>
  <si>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</si>
  <si>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</si>
  <si>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</si>
  <si>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</si>
  <si>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</si>
  <si>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</si>
  <si>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</si>
  <si>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</si>
  <si>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</si>
  <si>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</si>
  <si>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</si>
  <si>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</si>
  <si>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</si>
  <si>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</si>
  <si>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</si>
  <si>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</si>
  <si>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</si>
  <si>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</si>
  <si>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</si>
  <si>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</si>
  <si>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</si>
  <si>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</si>
  <si>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</si>
  <si>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</si>
  <si>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</si>
  <si>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</si>
  <si>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</si>
  <si>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</si>
  <si>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</si>
  <si>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</si>
  <si>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</si>
  <si>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</si>
  <si>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</si>
  <si>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</si>
  <si>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</si>
  <si>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</si>
  <si>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</si>
  <si>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</si>
  <si>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</si>
  <si>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</si>
  <si>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</si>
  <si>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</si>
  <si>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</si>
  <si>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</si>
  <si>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</si>
  <si>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</si>
  <si>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</si>
  <si>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</si>
  <si>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</si>
  <si>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</si>
  <si>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</si>
  <si>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</si>
  <si>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</si>
  <si>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</si>
  <si>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</si>
  <si>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</si>
  <si>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</si>
  <si>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</si>
  <si>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</si>
  <si>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</si>
  <si>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</si>
  <si>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</si>
  <si>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</si>
  <si>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</si>
  <si>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</si>
  <si>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</si>
  <si>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</si>
  <si>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</si>
  <si>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</si>
  <si>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</si>
  <si>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</si>
  <si>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</si>
  <si>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</si>
  <si>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</si>
  <si>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</si>
  <si>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</si>
  <si>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</si>
  <si>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</si>
  <si>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</si>
  <si>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</si>
  <si>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</si>
  <si>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</si>
  <si>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</si>
  <si>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</si>
  <si>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</si>
  <si>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</si>
  <si>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</si>
  <si>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</si>
  <si>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</si>
  <si>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</si>
  <si>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</si>
  <si>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</si>
  <si>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</si>
  <si>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</si>
  <si>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</si>
  <si>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</si>
  <si>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</si>
  <si>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</si>
  <si>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</si>
  <si>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</si>
  <si>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</si>
  <si>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</si>
  <si>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</si>
  <si>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</si>
  <si>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</si>
  <si>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</si>
  <si>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</si>
  <si>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</si>
  <si>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</si>
  <si>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</si>
  <si>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</si>
  <si>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</si>
  <si>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</si>
  <si>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</si>
  <si>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</si>
  <si>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</si>
  <si>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</si>
  <si>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</si>
  <si>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</si>
  <si>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</si>
  <si>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</si>
  <si>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</si>
  <si>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</si>
  <si>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</si>
  <si>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</si>
  <si>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</si>
  <si>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</si>
  <si>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</si>
  <si>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</si>
  <si>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</si>
  <si>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</si>
  <si>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</si>
  <si>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</si>
  <si>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</si>
  <si>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</si>
  <si>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</si>
  <si>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</si>
  <si>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</si>
  <si>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</si>
  <si>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</si>
  <si>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</si>
  <si>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</si>
  <si>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</si>
  <si>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</si>
  <si>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</si>
  <si>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</si>
  <si>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</si>
  <si>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</si>
  <si>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</si>
  <si>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</si>
  <si>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</si>
  <si>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</si>
  <si>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</si>
  <si>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</si>
  <si>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</si>
  <si>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</si>
  <si>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</si>
  <si>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</si>
  <si>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</si>
  <si>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</si>
  <si>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</si>
  <si>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</si>
  <si>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</si>
  <si>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</si>
  <si>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</si>
  <si>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</si>
  <si>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</si>
  <si>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</si>
  <si>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</si>
  <si>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</si>
  <si>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</si>
  <si>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</si>
  <si>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</si>
  <si>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</si>
  <si>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</si>
  <si>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</si>
  <si>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</si>
  <si>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</si>
  <si>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</si>
  <si>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</si>
  <si>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</si>
  <si>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</si>
  <si>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</si>
  <si>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</si>
  <si>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</si>
  <si>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</si>
  <si>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</si>
  <si>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</si>
  <si>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</si>
  <si>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</si>
  <si>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</si>
  <si>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</si>
  <si>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</si>
  <si>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</si>
  <si>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</si>
  <si>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</si>
  <si>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</si>
  <si>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</si>
  <si>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</si>
  <si>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</si>
  <si>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</si>
  <si>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</si>
  <si>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</si>
  <si>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</si>
  <si>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</si>
  <si>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</si>
  <si>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</si>
  <si>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</si>
  <si>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</si>
  <si>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</si>
  <si>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</si>
  <si>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</si>
  <si>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</si>
  <si>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</si>
  <si>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</si>
  <si>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</si>
  <si>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</si>
  <si>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</si>
  <si>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</si>
  <si>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</si>
  <si>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</si>
  <si>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</si>
  <si>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</si>
  <si>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</si>
  <si>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</si>
  <si>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</si>
  <si>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</si>
  <si>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</si>
  <si>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</si>
  <si>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</si>
  <si>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</si>
  <si>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</si>
  <si>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</si>
  <si>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</si>
  <si>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</si>
  <si>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</si>
  <si>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</si>
  <si>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</si>
  <si>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</si>
  <si>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</si>
  <si>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</si>
  <si>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</si>
  <si>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</si>
  <si>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</si>
  <si>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</si>
  <si>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</si>
  <si>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</si>
  <si>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</si>
  <si>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</si>
  <si>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</si>
  <si>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</si>
  <si>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</si>
  <si>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</si>
  <si>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</si>
  <si>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</si>
  <si>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</si>
  <si>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</si>
  <si>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</si>
  <si>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</si>
  <si>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</si>
  <si>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</si>
  <si>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</si>
  <si>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</si>
  <si>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</si>
  <si>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</si>
  <si>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</si>
  <si>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</si>
  <si>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</si>
  <si>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</si>
  <si>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</si>
  <si>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</si>
  <si>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</si>
  <si>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</si>
  <si>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</si>
  <si>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</si>
  <si>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</si>
  <si>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</si>
  <si>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</si>
  <si>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</si>
  <si>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</si>
  <si>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</si>
  <si>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</si>
  <si>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</si>
  <si>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</si>
  <si>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</si>
  <si>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</si>
  <si>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</si>
  <si>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</si>
  <si>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</si>
  <si>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</si>
  <si>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</si>
  <si>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</si>
  <si>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</si>
  <si>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</si>
  <si>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</si>
  <si>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</si>
  <si>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</si>
  <si>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</si>
  <si>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</si>
  <si>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</si>
  <si>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</si>
  <si>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</si>
  <si>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</si>
  <si>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</si>
  <si>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</si>
  <si>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</si>
  <si>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</si>
  <si>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</si>
  <si>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</si>
  <si>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</si>
  <si>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</si>
  <si>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</si>
  <si>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</si>
  <si>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</si>
  <si>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</si>
  <si>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</si>
  <si>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</si>
  <si>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</si>
  <si>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</si>
  <si>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</si>
  <si>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</si>
  <si>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</si>
  <si>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</si>
  <si>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</si>
  <si>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</si>
  <si>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</si>
  <si>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</si>
  <si>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</si>
  <si>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</si>
  <si>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</si>
  <si>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</si>
  <si>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</si>
  <si>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</si>
  <si>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</si>
  <si>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</si>
  <si>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</si>
  <si>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</si>
  <si>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</si>
  <si>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</si>
  <si>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</si>
  <si>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</si>
  <si>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</si>
  <si>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</si>
  <si>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</si>
  <si>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</si>
  <si>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</si>
  <si>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</si>
  <si>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</si>
  <si>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</si>
  <si>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</si>
  <si>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</si>
  <si>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</si>
  <si>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</si>
  <si>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</si>
  <si>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</si>
  <si>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</si>
  <si>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</si>
  <si>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</si>
  <si>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</si>
  <si>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</si>
  <si>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</si>
  <si>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</si>
  <si>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</si>
  <si>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</si>
  <si>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</si>
  <si>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</si>
  <si>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</si>
  <si>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</si>
  <si>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</si>
  <si>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</si>
  <si>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</si>
  <si>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</si>
  <si>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</si>
  <si>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</si>
  <si>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</si>
  <si>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</si>
  <si>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</si>
  <si>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</si>
  <si>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</si>
  <si>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</si>
  <si>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</si>
  <si>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</si>
  <si>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</si>
  <si>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</si>
  <si>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</si>
  <si>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</si>
  <si>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</si>
  <si>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</si>
  <si>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</si>
  <si>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</si>
  <si>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</si>
  <si>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</si>
  <si>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</si>
  <si>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</si>
  <si>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</si>
  <si>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</si>
  <si>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</si>
  <si>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</si>
  <si>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</si>
  <si>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</si>
  <si>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</si>
  <si>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</si>
  <si>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</si>
  <si>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</si>
  <si>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</si>
  <si>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</si>
  <si>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</si>
  <si>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</si>
  <si>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</si>
  <si>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</si>
  <si>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</si>
  <si>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</si>
  <si>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</si>
  <si>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</si>
  <si>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</si>
  <si>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</si>
  <si>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</si>
  <si>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</si>
  <si>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</si>
  <si>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</si>
  <si>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</si>
  <si>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</si>
  <si>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</si>
  <si>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</si>
  <si>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</si>
  <si>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</si>
  <si>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</si>
  <si>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</si>
  <si>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</si>
  <si>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</si>
  <si>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</si>
  <si>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</si>
  <si>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</si>
  <si>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</si>
  <si>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</si>
  <si>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</si>
  <si>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</si>
  <si>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</si>
  <si>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</si>
  <si>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</si>
  <si>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</si>
  <si>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</si>
  <si>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</si>
  <si>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</si>
  <si>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</si>
  <si>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</si>
  <si>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</si>
  <si>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</si>
  <si>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</si>
  <si>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</si>
  <si>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</si>
  <si>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</si>
  <si>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</si>
  <si>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</si>
  <si>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</si>
  <si>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</si>
  <si>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</si>
  <si>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</si>
  <si>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</si>
  <si>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</si>
  <si>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</si>
  <si>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</si>
  <si>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</si>
  <si>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</si>
  <si>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</si>
  <si>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</si>
  <si>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</si>
  <si>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</si>
  <si>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</si>
  <si>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</si>
  <si>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</si>
  <si>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</si>
  <si>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</si>
  <si>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</si>
  <si>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</si>
  <si>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</si>
  <si>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</si>
  <si>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</si>
  <si>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</si>
  <si>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</si>
  <si>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</si>
  <si>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</si>
  <si>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</si>
  <si>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</si>
  <si>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</si>
  <si>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</si>
  <si>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</si>
  <si>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</si>
  <si>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</si>
  <si>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</si>
  <si>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</si>
  <si>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</si>
  <si>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</si>
  <si>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</si>
  <si>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</si>
  <si>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</si>
  <si>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</si>
  <si>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</si>
  <si>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</si>
  <si>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</si>
  <si>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</si>
  <si>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</si>
  <si>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</si>
  <si>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</si>
  <si>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</si>
  <si>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</si>
  <si>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</si>
  <si>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</si>
  <si>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</si>
  <si>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</si>
  <si>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</si>
  <si>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</si>
  <si>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</si>
  <si>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</si>
  <si>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</si>
  <si>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</si>
  <si>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</si>
  <si>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</si>
  <si>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</si>
  <si>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</si>
  <si>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</si>
  <si>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</si>
  <si>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</si>
  <si>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</si>
  <si>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</si>
  <si>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</si>
  <si>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</si>
  <si>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</si>
  <si>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</si>
  <si>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</si>
  <si>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</si>
  <si>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</si>
  <si>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</si>
  <si>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</si>
  <si>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</si>
  <si>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</si>
  <si>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</si>
  <si>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</si>
  <si>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</si>
  <si>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</si>
  <si>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</si>
  <si>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</si>
  <si>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</si>
  <si>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</si>
  <si>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</si>
  <si>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</si>
  <si>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</si>
  <si>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</si>
  <si>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</si>
  <si>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</si>
  <si>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</si>
  <si>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</si>
  <si>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</si>
  <si>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</si>
  <si>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</si>
  <si>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</si>
  <si>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</si>
  <si>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</si>
  <si>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</si>
  <si>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</si>
  <si>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</si>
  <si>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</si>
  <si>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</si>
  <si>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</si>
  <si>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</si>
  <si>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</si>
  <si>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</si>
  <si>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</si>
  <si>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</si>
  <si>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</si>
  <si>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</si>
  <si>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</si>
  <si>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</si>
  <si>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</si>
  <si>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</si>
  <si>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</si>
  <si>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</si>
  <si>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</si>
  <si>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</si>
  <si>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</si>
  <si>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</si>
  <si>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</si>
  <si>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</si>
  <si>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</si>
  <si>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</si>
  <si>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</si>
  <si>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</si>
  <si>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</si>
  <si>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</si>
  <si>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</si>
  <si>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</si>
  <si>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</si>
  <si>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</si>
  <si>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</si>
  <si>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</si>
  <si>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</si>
  <si>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</si>
  <si>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</si>
  <si>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</si>
  <si>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</si>
  <si>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</si>
  <si>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</si>
  <si>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</si>
  <si>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</si>
  <si>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</si>
  <si>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</si>
  <si>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</si>
  <si>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</si>
  <si>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</si>
  <si>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</si>
  <si>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</si>
  <si>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</si>
  <si>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</si>
  <si>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</si>
  <si>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</si>
  <si>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</si>
  <si>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</si>
  <si>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</si>
  <si>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</si>
  <si>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</si>
  <si>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</si>
  <si>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</si>
  <si>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</si>
  <si>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</si>
  <si>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</si>
  <si>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</si>
  <si>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</si>
  <si>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</si>
  <si>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</si>
  <si>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</si>
  <si>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</si>
  <si>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</si>
  <si>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</si>
  <si>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</si>
  <si>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</si>
  <si>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</si>
  <si>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</si>
  <si>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</si>
  <si>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</si>
  <si>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</si>
  <si>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</si>
  <si>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</si>
  <si>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</si>
  <si>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</si>
  <si>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</si>
  <si>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</si>
  <si>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</si>
  <si>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</si>
  <si>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</si>
  <si>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</si>
  <si>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</si>
  <si>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</si>
  <si>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</si>
  <si>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</si>
  <si>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</si>
  <si>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</si>
  <si>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</si>
  <si>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</si>
  <si>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</si>
  <si>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</si>
  <si>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</si>
  <si>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</si>
  <si>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</si>
  <si>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</si>
  <si>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</si>
  <si>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</si>
  <si>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</si>
  <si>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</si>
  <si>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</si>
  <si>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</si>
  <si>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</si>
  <si>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</si>
  <si>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</si>
  <si>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</si>
  <si>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</si>
  <si>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</si>
  <si>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</si>
  <si>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</si>
  <si>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</si>
  <si>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</si>
  <si>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</si>
  <si>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</si>
  <si>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</si>
  <si>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</si>
  <si>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</si>
  <si>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</si>
  <si>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</si>
  <si>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</si>
  <si>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</si>
  <si>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</si>
  <si>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</si>
  <si>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</si>
  <si>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</si>
  <si>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</si>
  <si>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</si>
  <si>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</si>
  <si>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</si>
  <si>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</si>
  <si>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</si>
  <si>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</si>
  <si>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</si>
  <si>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</si>
  <si>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</si>
  <si>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</si>
  <si>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</si>
  <si>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</si>
  <si>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</si>
  <si>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</si>
  <si>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</si>
  <si>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</si>
  <si>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</si>
  <si>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</si>
  <si>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</si>
  <si>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</si>
  <si>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</si>
  <si>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</si>
  <si>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</si>
  <si>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</si>
  <si>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</si>
  <si>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</si>
  <si>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</si>
  <si>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</si>
  <si>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</si>
  <si>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</si>
  <si>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</si>
  <si>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</si>
  <si>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</si>
  <si>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</si>
  <si>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</si>
  <si>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</si>
  <si>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</si>
  <si>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</si>
  <si>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</si>
  <si>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</si>
  <si>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</si>
  <si>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</si>
  <si>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</si>
  <si>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</si>
  <si>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</si>
  <si>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</si>
  <si>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</si>
  <si>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</si>
  <si>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</si>
  <si>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</si>
  <si>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</si>
  <si>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</si>
  <si>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</si>
  <si>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</si>
  <si>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</si>
  <si>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</si>
  <si>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</si>
  <si>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</si>
  <si>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</si>
  <si>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</si>
  <si>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</si>
  <si>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</si>
  <si>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</si>
  <si>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</si>
  <si>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</si>
  <si>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</si>
  <si>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</si>
  <si>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</si>
  <si>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</si>
  <si>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</si>
  <si>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</si>
  <si>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</si>
  <si>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</si>
  <si>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</si>
  <si>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</si>
  <si>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</si>
  <si>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</si>
  <si>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</si>
  <si>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</si>
  <si>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</si>
  <si>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</si>
  <si>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</si>
  <si>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</si>
  <si>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</si>
  <si>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</si>
  <si>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</si>
  <si>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</si>
  <si>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</si>
  <si>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</si>
  <si>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</si>
  <si>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</si>
  <si>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</si>
  <si>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</si>
  <si>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</si>
  <si>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</si>
  <si>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</si>
  <si>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</si>
  <si>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</si>
  <si>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</si>
  <si>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</si>
  <si>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</si>
  <si>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</si>
  <si>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</si>
  <si>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</si>
  <si>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</si>
  <si>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</si>
  <si>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</si>
  <si>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</si>
  <si>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</si>
  <si>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</si>
  <si>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</si>
  <si>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</si>
  <si>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</si>
  <si>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</si>
  <si>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</si>
  <si>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</si>
  <si>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</si>
  <si>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</si>
  <si>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</si>
  <si>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</si>
  <si>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</si>
  <si>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</si>
  <si>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</si>
  <si>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</si>
  <si>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</si>
  <si>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</si>
  <si>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</si>
  <si>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</si>
  <si>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</si>
  <si>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</si>
  <si>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</si>
  <si>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</si>
  <si>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</si>
  <si>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</si>
  <si>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</si>
  <si>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</si>
  <si>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</si>
  <si>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</si>
  <si>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</si>
  <si>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</si>
  <si>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</si>
  <si>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</si>
  <si>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</si>
  <si>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</si>
  <si>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</si>
  <si>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</si>
  <si>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</si>
  <si>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</si>
  <si>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</si>
  <si>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</si>
  <si>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</si>
  <si>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</si>
  <si>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</si>
  <si>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</si>
  <si>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</si>
  <si>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</si>
  <si>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</si>
  <si>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</si>
  <si>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</si>
  <si>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</si>
  <si>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</si>
  <si>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</si>
  <si>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</si>
  <si>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</si>
  <si>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</si>
  <si>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</si>
  <si>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</si>
  <si>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</si>
  <si>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</si>
  <si>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</si>
  <si>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</si>
  <si>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</si>
  <si>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</si>
  <si>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</si>
  <si>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</si>
  <si>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</si>
  <si>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</si>
  <si>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</si>
  <si>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</si>
  <si>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</si>
  <si>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</si>
  <si>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</si>
  <si>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</si>
  <si>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</si>
  <si>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</si>
  <si>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</si>
  <si>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</si>
  <si>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</si>
  <si>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</si>
  <si>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</si>
  <si>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</si>
  <si>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</si>
  <si>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</si>
  <si>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</si>
  <si>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</si>
  <si>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</si>
  <si>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</si>
  <si>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</si>
  <si>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</si>
  <si>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</si>
  <si>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</si>
  <si>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</si>
  <si>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</si>
  <si>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</si>
  <si>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</si>
  <si>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</si>
  <si>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</si>
  <si>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</si>
  <si>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</si>
  <si>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</si>
  <si>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</si>
  <si>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</si>
  <si>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</si>
  <si>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</si>
  <si>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</si>
  <si>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</si>
  <si>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</si>
  <si>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</si>
  <si>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</si>
  <si>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</si>
  <si>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</si>
  <si>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</si>
  <si>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</si>
  <si>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</si>
  <si>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</si>
  <si>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</si>
  <si>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</si>
  <si>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</si>
  <si>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</si>
  <si>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</si>
  <si>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</si>
  <si>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</si>
  <si>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</si>
  <si>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</si>
  <si>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</si>
  <si>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</si>
  <si>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</si>
  <si>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</si>
  <si>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</si>
  <si>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</si>
  <si>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</si>
  <si>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</si>
  <si>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</si>
  <si>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</si>
  <si>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</si>
  <si>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</si>
  <si>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</si>
  <si>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</si>
  <si>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</si>
  <si>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</si>
  <si>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</si>
  <si>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</si>
  <si>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</si>
  <si>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</si>
  <si>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</si>
  <si>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</si>
  <si>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</si>
  <si>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</si>
  <si>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</si>
  <si>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</si>
  <si>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</si>
  <si>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</si>
  <si>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</si>
  <si>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</si>
  <si>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</si>
  <si>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</si>
  <si>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</si>
  <si>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</si>
  <si>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</si>
  <si>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</si>
  <si>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</si>
  <si>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</si>
  <si>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</si>
  <si>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</si>
  <si>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</si>
  <si>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</si>
  <si>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</si>
  <si>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</si>
  <si>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</si>
  <si>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</si>
  <si>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</si>
  <si>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</si>
  <si>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</si>
  <si>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</si>
  <si>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</si>
  <si>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</si>
  <si>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</si>
  <si>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</si>
  <si>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</si>
  <si>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</si>
  <si>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</si>
  <si>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</si>
  <si>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</si>
  <si>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</si>
  <si>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</si>
  <si>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</si>
  <si>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</si>
  <si>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</si>
  <si>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</si>
  <si>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</si>
  <si>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</si>
  <si>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</si>
  <si>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</si>
  <si>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</si>
  <si>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</si>
  <si>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</si>
  <si>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</si>
  <si>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</si>
  <si>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</si>
  <si>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</si>
  <si>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</si>
  <si>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</si>
  <si>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</si>
  <si>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</si>
  <si>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</si>
  <si>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</si>
  <si>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</si>
  <si>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</si>
  <si>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</si>
  <si>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</si>
  <si>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</si>
  <si>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</si>
  <si>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</si>
  <si>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</si>
  <si>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</si>
  <si>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</si>
  <si>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</si>
  <si>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</si>
  <si>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</si>
  <si>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</si>
  <si>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</si>
  <si>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</si>
  <si>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</si>
  <si>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</si>
  <si>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</si>
  <si>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</si>
  <si>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</si>
  <si>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</si>
  <si>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</si>
  <si>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</si>
  <si>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</si>
  <si>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</si>
  <si>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</si>
  <si>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</si>
  <si>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</si>
  <si>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</si>
  <si>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</si>
  <si>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</si>
  <si>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</si>
  <si>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</si>
  <si>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</si>
  <si>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</si>
  <si>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</si>
  <si>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</si>
  <si>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</si>
  <si>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</si>
  <si>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</si>
  <si>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</si>
  <si>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</si>
  <si>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</si>
  <si>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</si>
  <si>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</si>
  <si>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</si>
  <si>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</si>
  <si>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</si>
  <si>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</si>
  <si>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</si>
  <si>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</si>
  <si>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</si>
  <si>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</si>
  <si>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</si>
  <si>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</si>
  <si>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</si>
  <si>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</si>
  <si>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</si>
  <si>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</si>
  <si>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</si>
  <si>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</si>
  <si>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</si>
  <si>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</si>
  <si>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</si>
  <si>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</si>
  <si>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</si>
  <si>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</si>
  <si>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</si>
  <si>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</si>
  <si>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</si>
  <si>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</si>
  <si>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</si>
  <si>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</si>
  <si>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</si>
  <si>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</si>
  <si>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</si>
  <si>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</si>
  <si>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</si>
  <si>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</si>
  <si>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</si>
  <si>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</si>
  <si>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</si>
  <si>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</si>
  <si>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</si>
  <si>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</si>
  <si>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</si>
  <si>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</si>
  <si>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</si>
  <si>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</si>
  <si>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</si>
  <si>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</si>
  <si>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</si>
  <si>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</si>
  <si>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</si>
  <si>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</si>
  <si>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</si>
  <si>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</si>
  <si>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</si>
  <si>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</si>
  <si>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</si>
  <si>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</si>
  <si>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</si>
  <si>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</si>
  <si>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</si>
  <si>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</si>
  <si>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</si>
  <si>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</si>
  <si>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</si>
  <si>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</si>
  <si>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</si>
  <si>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</si>
  <si>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</si>
  <si>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</si>
  <si>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</si>
  <si>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</si>
  <si>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</si>
  <si>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</si>
  <si>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</si>
  <si>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</si>
  <si>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</si>
  <si>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</si>
  <si>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</si>
  <si>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</si>
  <si>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</si>
  <si>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</si>
  <si>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</si>
  <si>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</si>
  <si>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</si>
  <si>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</si>
  <si>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</si>
  <si>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</si>
  <si>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</si>
  <si>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</si>
  <si>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</si>
  <si>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</si>
  <si>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</si>
  <si>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</si>
  <si>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</si>
  <si>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</si>
  <si>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</si>
  <si>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</si>
  <si>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</si>
  <si>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</si>
  <si>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</si>
  <si>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</si>
  <si>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</si>
  <si>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</si>
  <si>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</si>
  <si>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</si>
  <si>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</si>
  <si>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</si>
  <si>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</si>
  <si>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</si>
  <si>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</si>
  <si>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</si>
  <si>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</si>
  <si>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</si>
  <si>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</si>
  <si>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</si>
  <si>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</si>
  <si>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</si>
  <si>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</si>
  <si>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</si>
  <si>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</si>
  <si>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</si>
  <si>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</si>
  <si>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</si>
  <si>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</si>
  <si>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</si>
  <si>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</si>
  <si>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</si>
  <si>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</si>
  <si>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</si>
  <si>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</si>
  <si>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</si>
  <si>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</si>
  <si>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</si>
  <si>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</si>
  <si>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</si>
  <si>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</si>
  <si>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</si>
  <si>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</si>
  <si>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</si>
  <si>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</si>
  <si>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</si>
  <si>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</si>
  <si>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</si>
  <si>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</si>
  <si>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</si>
  <si>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</si>
  <si>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</si>
  <si>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</si>
  <si>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</si>
  <si>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</si>
  <si>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</si>
  <si>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</si>
  <si>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</si>
  <si>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</si>
  <si>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</si>
  <si>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</si>
  <si>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</si>
  <si>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</si>
  <si>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</si>
  <si>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</si>
  <si>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</si>
  <si>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</si>
  <si>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</si>
  <si>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</si>
  <si>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</si>
  <si>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</si>
  <si>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</si>
  <si>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</si>
  <si>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</si>
  <si>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</si>
  <si>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</si>
  <si>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</si>
  <si>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</si>
  <si>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</si>
  <si>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</si>
  <si>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</si>
  <si>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</si>
  <si>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</si>
  <si>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</si>
  <si>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</si>
  <si>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</si>
  <si>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</si>
  <si>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</si>
  <si>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</si>
  <si>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</si>
  <si>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</si>
  <si>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</si>
  <si>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</si>
  <si>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</si>
  <si>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</si>
  <si>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</si>
  <si>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</si>
  <si>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</si>
  <si>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</si>
  <si>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</si>
  <si>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</si>
  <si>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</si>
  <si>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</si>
  <si>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</si>
  <si>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</si>
  <si>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</si>
  <si>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</si>
  <si>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</si>
  <si>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</si>
  <si>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</si>
  <si>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</si>
  <si>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</si>
  <si>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</si>
  <si>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</si>
  <si>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</si>
  <si>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</si>
  <si>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</si>
  <si>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</si>
  <si>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</si>
  <si>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</si>
  <si>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</si>
  <si>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</si>
  <si>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</si>
  <si>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</si>
  <si>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</si>
  <si>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</si>
  <si>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</si>
  <si>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</si>
  <si>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</si>
  <si>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</si>
  <si>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</si>
  <si>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</si>
  <si>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</si>
  <si>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</si>
  <si>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</si>
  <si>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</si>
  <si>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</si>
  <si>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</si>
  <si>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</si>
  <si>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</si>
  <si>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</si>
  <si>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</si>
  <si>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</si>
  <si>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</si>
  <si>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</si>
  <si>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</si>
  <si>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</si>
  <si>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</si>
  <si>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</si>
  <si>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</si>
  <si>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</si>
  <si>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</si>
  <si>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</si>
  <si>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</si>
  <si>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</si>
  <si>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</si>
  <si>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</si>
  <si>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</si>
  <si>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</si>
  <si>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</si>
  <si>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</si>
  <si>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</si>
  <si>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</si>
  <si>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</si>
  <si>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</si>
  <si>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</si>
  <si>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</si>
  <si>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</si>
  <si>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</si>
  <si>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</si>
  <si>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</si>
  <si>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</si>
  <si>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</si>
  <si>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</si>
  <si>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</si>
  <si>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</si>
  <si>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</si>
  <si>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</si>
  <si>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</si>
  <si>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</si>
  <si>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</si>
  <si>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</si>
  <si>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</si>
  <si>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</si>
  <si>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</si>
  <si>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</si>
  <si>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</si>
  <si>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</si>
  <si>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</si>
  <si>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</si>
  <si>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</si>
  <si>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</si>
  <si>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</si>
  <si>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</si>
  <si>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</si>
  <si>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</si>
  <si>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</si>
  <si>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</si>
  <si>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</si>
  <si>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</si>
  <si>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</si>
  <si>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</si>
  <si>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</si>
  <si>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</si>
  <si>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</si>
  <si>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</si>
  <si>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</si>
  <si>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</si>
  <si>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</si>
  <si>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</si>
  <si>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</si>
  <si>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</si>
  <si>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</si>
  <si>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</si>
  <si>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</si>
  <si>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</si>
  <si>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</si>
  <si>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</si>
  <si>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</si>
  <si>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</si>
  <si>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</si>
  <si>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</si>
  <si>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</si>
  <si>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</si>
  <si>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</si>
  <si>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</si>
  <si>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</si>
  <si>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</si>
  <si>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</si>
  <si>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</si>
  <si>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</si>
  <si>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</si>
  <si>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</si>
  <si>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</si>
  <si>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</si>
  <si>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</si>
  <si>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</si>
  <si>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</si>
  <si>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</si>
  <si>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</si>
  <si>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</si>
  <si>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</si>
  <si>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</si>
  <si>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</si>
  <si>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</si>
  <si>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</si>
  <si>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</si>
  <si>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</si>
  <si>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</si>
  <si>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</si>
  <si>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</si>
  <si>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</si>
  <si>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</si>
  <si>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</si>
  <si>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</si>
  <si>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</si>
  <si>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</si>
  <si>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</si>
  <si>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</si>
  <si>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</si>
  <si>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</si>
  <si>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</si>
  <si>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</si>
  <si>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</si>
  <si>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</si>
  <si>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</si>
  <si>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</si>
  <si>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</si>
  <si>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</si>
  <si>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</si>
  <si>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</si>
  <si>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</si>
  <si>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</si>
  <si>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</si>
  <si>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</si>
  <si>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</si>
  <si>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</si>
  <si>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</si>
  <si>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</si>
  <si>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</si>
  <si>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</si>
  <si>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</si>
  <si>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</si>
  <si>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</si>
  <si>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</si>
  <si>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</si>
  <si>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</si>
  <si>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</si>
  <si>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</si>
  <si>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</si>
  <si>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</si>
  <si>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</si>
  <si>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</si>
  <si>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</si>
  <si>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</si>
  <si>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</si>
  <si>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</si>
  <si>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</si>
  <si>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</si>
  <si>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</si>
  <si>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</si>
  <si>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</si>
  <si>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</si>
  <si>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</si>
  <si>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</si>
  <si>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</si>
  <si>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</si>
  <si>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</si>
  <si>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</si>
  <si>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</si>
  <si>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</si>
  <si>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</si>
  <si>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</si>
  <si>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</si>
  <si>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</si>
  <si>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</si>
  <si>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</si>
  <si>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</si>
  <si>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</si>
  <si>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</si>
  <si>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</si>
  <si>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</si>
  <si>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</si>
  <si>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</si>
  <si>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</si>
  <si>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</si>
  <si>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</si>
  <si>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</si>
  <si>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</si>
  <si>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</si>
  <si>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</si>
  <si>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</si>
  <si>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</si>
  <si>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</si>
  <si>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</si>
  <si>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</si>
  <si>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</si>
  <si>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</si>
  <si>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</si>
  <si>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</si>
  <si>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</si>
  <si>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</si>
  <si>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</si>
  <si>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</si>
  <si>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</si>
  <si>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</si>
  <si>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</si>
  <si>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</si>
  <si>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</si>
  <si>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</si>
  <si>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</si>
  <si>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</si>
  <si>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</si>
  <si>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</si>
  <si>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</si>
  <si>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</si>
  <si>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</si>
  <si>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</si>
  <si>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</si>
  <si>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</si>
  <si>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</si>
  <si>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</si>
  <si>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</si>
  <si>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</si>
  <si>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</si>
  <si>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</si>
  <si>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</si>
  <si>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</si>
  <si>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</si>
  <si>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</si>
  <si>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</si>
  <si>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</si>
  <si>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</si>
  <si>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</si>
  <si>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</si>
  <si>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</si>
  <si>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</si>
  <si>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</si>
  <si>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</si>
  <si>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</si>
  <si>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</si>
  <si>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</si>
  <si>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</si>
  <si>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</si>
  <si>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</si>
  <si>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</si>
  <si>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</si>
  <si>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</si>
  <si>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</si>
  <si>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</si>
  <si>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</si>
  <si>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</si>
  <si>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</si>
  <si>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</si>
  <si>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</si>
  <si>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</si>
  <si>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</si>
  <si>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</si>
  <si>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</si>
  <si>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</si>
  <si>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</si>
  <si>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</si>
  <si>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</si>
  <si>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</si>
  <si>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</si>
  <si>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</si>
  <si>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</si>
  <si>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</si>
  <si>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</si>
  <si>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</si>
  <si>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</si>
  <si>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</si>
  <si>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</si>
  <si>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</si>
  <si>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</si>
  <si>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</si>
  <si>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</si>
  <si>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</si>
  <si>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</si>
  <si>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</si>
  <si>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</si>
  <si>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</si>
  <si>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</si>
  <si>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</si>
  <si>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</si>
  <si>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</si>
  <si>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</si>
  <si>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</si>
  <si>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</si>
  <si>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</si>
  <si>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</si>
  <si>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</si>
  <si>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</si>
  <si>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</si>
  <si>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</si>
  <si>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</si>
  <si>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</si>
  <si>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</si>
  <si>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</si>
  <si>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</si>
  <si>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</si>
  <si>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</si>
  <si>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</si>
  <si>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</si>
  <si>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</si>
  <si>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</si>
  <si>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</si>
  <si>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</si>
  <si>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</si>
  <si>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</si>
  <si>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</si>
  <si>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</si>
  <si>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</si>
  <si>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</si>
  <si>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</si>
  <si>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</si>
  <si>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</si>
  <si>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</si>
  <si>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</si>
  <si>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</si>
  <si>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</si>
  <si>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</si>
  <si>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</si>
  <si>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</si>
  <si>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</si>
  <si>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</si>
  <si>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</si>
  <si>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</si>
  <si>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</si>
  <si>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</si>
  <si>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</si>
  <si>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</si>
  <si>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</si>
  <si>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</si>
  <si>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</si>
  <si>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</si>
  <si>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</si>
  <si>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</si>
  <si>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</si>
  <si>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</si>
  <si>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</si>
  <si>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</si>
  <si>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</si>
  <si>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</si>
  <si>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</si>
  <si>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</si>
  <si>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</si>
  <si>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</si>
  <si>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</si>
  <si>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</si>
  <si>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</si>
  <si>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</si>
  <si>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</si>
  <si>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</si>
  <si>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</si>
  <si>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</si>
  <si>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</si>
  <si>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</si>
  <si>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</si>
  <si>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</si>
  <si>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</si>
  <si>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</si>
  <si>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</si>
  <si>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</si>
  <si>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</si>
  <si>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</si>
  <si>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</si>
  <si>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</si>
  <si>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</si>
  <si>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</si>
  <si>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</si>
  <si>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</si>
  <si>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</si>
  <si>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</si>
  <si>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</si>
  <si>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</si>
  <si>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</si>
  <si>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</si>
  <si>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</si>
  <si>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</si>
  <si>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</si>
  <si>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</si>
  <si>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</si>
  <si>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</si>
  <si>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</si>
  <si>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</si>
  <si>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</si>
  <si>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</si>
  <si>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</si>
  <si>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</si>
  <si>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</si>
  <si>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</si>
  <si>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</si>
  <si>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</si>
  <si>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</si>
  <si>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</si>
  <si>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</si>
  <si>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</si>
  <si>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</si>
  <si>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</si>
  <si>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</si>
  <si>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</si>
  <si>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</si>
  <si>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</si>
  <si>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</si>
  <si>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</si>
  <si>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</si>
  <si>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</si>
  <si>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</si>
  <si>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</si>
  <si>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</si>
  <si>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</si>
  <si>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</si>
  <si>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</si>
  <si>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</si>
  <si>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</si>
  <si>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</si>
  <si>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</si>
  <si>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</si>
  <si>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</si>
  <si>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</si>
  <si>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</si>
  <si>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</si>
  <si>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</si>
  <si>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</si>
  <si>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</si>
  <si>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</si>
  <si>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</si>
  <si>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</si>
  <si>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</si>
  <si>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</si>
  <si>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</si>
  <si>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</si>
  <si>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</si>
  <si>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</si>
  <si>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</si>
  <si>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</si>
  <si>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</si>
  <si>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</si>
  <si>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</si>
  <si>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</si>
  <si>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</si>
  <si>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</si>
  <si>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</si>
  <si>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</si>
  <si>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</si>
  <si>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</si>
  <si>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</si>
  <si>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</si>
  <si>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</si>
  <si>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</si>
  <si>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</si>
  <si>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</si>
  <si>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</si>
  <si>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</si>
  <si>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</si>
  <si>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</si>
  <si>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</si>
  <si>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</si>
  <si>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</si>
  <si>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</si>
  <si>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</si>
  <si>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</si>
  <si>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</si>
  <si>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</si>
  <si>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</si>
  <si>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</si>
  <si>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</si>
  <si>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</si>
  <si>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</si>
  <si>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</si>
  <si>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</si>
  <si>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</si>
  <si>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</si>
  <si>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</si>
  <si>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</si>
  <si>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</si>
  <si>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</si>
  <si>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</si>
  <si>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</si>
  <si>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</si>
  <si>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</si>
  <si>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</si>
  <si>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</si>
  <si>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</si>
  <si>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</si>
  <si>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</si>
  <si>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</si>
  <si>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</si>
  <si>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</si>
  <si>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</si>
  <si>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</si>
  <si>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</si>
  <si>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</si>
  <si>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</si>
  <si>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</si>
  <si>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</si>
  <si>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</si>
  <si>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</si>
  <si>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</si>
  <si>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</si>
  <si>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</si>
  <si>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</si>
  <si>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</si>
  <si>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</si>
  <si>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</si>
  <si>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</si>
  <si>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</si>
  <si>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</si>
  <si>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</si>
  <si>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</si>
  <si>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</si>
  <si>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</si>
  <si>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</si>
  <si>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</si>
  <si>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</si>
  <si>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</si>
  <si>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</si>
  <si>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</si>
  <si>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</si>
  <si>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</si>
  <si>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</si>
  <si>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</si>
  <si>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</si>
  <si>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</si>
  <si>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</si>
  <si>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</si>
  <si>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</si>
  <si>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</si>
  <si>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</si>
  <si>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</si>
  <si>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</si>
  <si>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</si>
  <si>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</si>
  <si>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</si>
  <si>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</si>
  <si>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</si>
  <si>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</si>
  <si>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</si>
  <si>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</si>
  <si>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</si>
  <si>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</si>
  <si>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</si>
  <si>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</si>
  <si>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</si>
  <si>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</si>
  <si>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</si>
  <si>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</si>
  <si>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</si>
  <si>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</si>
  <si>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</si>
  <si>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</si>
  <si>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</si>
  <si>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</si>
  <si>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</si>
  <si>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</si>
  <si>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</si>
  <si>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</si>
  <si>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</si>
  <si>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</si>
  <si>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</si>
  <si>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</si>
  <si>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</si>
  <si>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</si>
  <si>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</si>
  <si>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</si>
  <si>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</si>
  <si>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</si>
  <si>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</si>
  <si>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</si>
  <si>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</si>
  <si>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</si>
  <si>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</si>
  <si>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</si>
  <si>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</si>
  <si>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</si>
  <si>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</si>
  <si>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</si>
  <si>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</si>
  <si>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</si>
  <si>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</si>
  <si>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</si>
  <si>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</si>
  <si>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</si>
  <si>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</si>
  <si>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</si>
  <si>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</si>
  <si>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</si>
  <si>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</si>
  <si>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</si>
  <si>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</si>
  <si>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</si>
  <si>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</si>
  <si>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</si>
  <si>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</si>
  <si>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</si>
  <si>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</si>
  <si>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</si>
  <si>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</si>
  <si>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</si>
  <si>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</si>
  <si>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</si>
  <si>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</si>
  <si>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</si>
  <si>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</si>
  <si>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</si>
  <si>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</si>
  <si>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</si>
  <si>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</si>
  <si>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</si>
  <si>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</si>
  <si>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</si>
  <si>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</si>
  <si>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</si>
  <si>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</si>
  <si>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</si>
  <si>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</si>
  <si>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</si>
  <si>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</si>
  <si>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</si>
  <si>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</si>
  <si>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</si>
  <si>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</si>
  <si>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</si>
  <si>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</si>
  <si>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</si>
  <si>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</si>
  <si>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</si>
  <si>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</si>
  <si>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</si>
  <si>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</si>
  <si>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</si>
  <si>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</si>
  <si>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</si>
  <si>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</si>
  <si>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</si>
  <si>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</si>
  <si>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</si>
  <si>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</si>
  <si>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</si>
  <si>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</si>
  <si>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</si>
  <si>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</si>
  <si>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</si>
  <si>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</si>
  <si>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</si>
  <si>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</si>
  <si>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</si>
  <si>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</si>
  <si>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</si>
  <si>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</si>
  <si>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</si>
  <si>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</si>
  <si>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</si>
  <si>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</si>
  <si>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</si>
  <si>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</si>
  <si>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</si>
  <si>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</si>
  <si>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</si>
  <si>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</si>
  <si>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</si>
  <si>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</si>
  <si>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</si>
  <si>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</si>
  <si>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</si>
  <si>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</si>
  <si>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</si>
  <si>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</si>
  <si>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</si>
  <si>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</si>
  <si>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</si>
  <si>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</si>
  <si>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</si>
  <si>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</si>
  <si>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</si>
  <si>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</si>
  <si>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</si>
  <si>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</si>
  <si>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</si>
  <si>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</si>
  <si>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</si>
  <si>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</si>
  <si>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</si>
  <si>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</si>
  <si>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</si>
  <si>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</si>
  <si>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</si>
  <si>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</si>
  <si>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</si>
  <si>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</si>
  <si>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</si>
  <si>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</si>
  <si>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</si>
  <si>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</si>
  <si>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</si>
  <si>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</si>
  <si>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</si>
  <si>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</si>
  <si>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</si>
  <si>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</si>
  <si>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</si>
  <si>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</si>
  <si>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</si>
  <si>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</si>
  <si>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</si>
  <si>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</si>
  <si>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</si>
  <si>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</si>
  <si>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</si>
  <si>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</si>
  <si>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</si>
  <si>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</si>
  <si>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</si>
  <si>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</si>
  <si>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</si>
  <si>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</si>
  <si>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</si>
  <si>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</si>
  <si>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</si>
  <si>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</si>
  <si>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</si>
  <si>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</si>
  <si>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</si>
  <si>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</si>
  <si>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</si>
  <si>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</si>
  <si>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</si>
  <si>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</si>
  <si>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</si>
  <si>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</si>
  <si>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</si>
  <si>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</si>
  <si>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</si>
  <si>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</si>
  <si>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</si>
  <si>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</si>
  <si>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</si>
  <si>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</si>
  <si>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</si>
  <si>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</si>
  <si>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</si>
  <si>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</si>
  <si>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</si>
  <si>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</si>
  <si>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</si>
  <si>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</si>
  <si>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</si>
  <si>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</si>
  <si>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</si>
  <si>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</si>
  <si>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</si>
  <si>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</si>
  <si>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</si>
  <si>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</si>
  <si>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</si>
  <si>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</si>
  <si>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</si>
  <si>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</si>
  <si>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</si>
  <si>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</si>
  <si>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</si>
  <si>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</si>
  <si>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</si>
  <si>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</si>
  <si>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</si>
  <si>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</si>
  <si>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</si>
  <si>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</si>
  <si>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</si>
  <si>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</si>
  <si>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</si>
  <si>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</si>
  <si>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</si>
  <si>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</si>
  <si>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</si>
  <si>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</si>
  <si>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</si>
  <si>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</si>
  <si>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</si>
  <si>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</si>
  <si>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</si>
  <si>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</si>
  <si>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</si>
  <si>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</si>
  <si>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</si>
  <si>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</si>
  <si>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</si>
  <si>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</si>
  <si>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</si>
  <si>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</si>
  <si>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</si>
  <si>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</si>
  <si>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</si>
  <si>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</si>
  <si>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</si>
  <si>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</si>
  <si>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</si>
  <si>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</si>
  <si>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</si>
  <si>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</si>
  <si>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</si>
  <si>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</si>
  <si>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</si>
  <si>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</si>
  <si>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</si>
  <si>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</si>
  <si>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</si>
  <si>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</si>
  <si>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</si>
  <si>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</si>
  <si>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</si>
  <si>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</si>
  <si>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</si>
  <si>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</si>
  <si>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</si>
  <si>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</si>
  <si>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</si>
  <si>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</si>
  <si>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</si>
  <si>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</si>
  <si>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</si>
  <si>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</si>
  <si>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</si>
  <si>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</si>
  <si>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</si>
  <si>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</si>
  <si>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</si>
  <si>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</si>
  <si>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</si>
  <si>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</si>
  <si>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</si>
  <si>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</si>
  <si>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</si>
  <si>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</si>
  <si>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</si>
  <si>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</si>
  <si>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</si>
  <si>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</si>
  <si>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</si>
  <si>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</si>
  <si>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</si>
  <si>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</si>
  <si>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</si>
  <si>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</si>
  <si>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</si>
  <si>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</si>
  <si>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</si>
  <si>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</si>
  <si>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</si>
  <si>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</si>
  <si>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</si>
  <si>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</si>
  <si>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</si>
  <si>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</si>
  <si>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</si>
  <si>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</si>
  <si>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</si>
  <si>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</si>
  <si>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</si>
  <si>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</si>
  <si>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</si>
  <si>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</si>
  <si>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</si>
  <si>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</si>
  <si>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</si>
  <si>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</si>
  <si>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</si>
  <si>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</si>
  <si>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</si>
  <si>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</si>
  <si>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</si>
  <si>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</si>
  <si>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</si>
  <si>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</si>
  <si>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</si>
  <si>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</si>
  <si>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</si>
  <si>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</si>
  <si>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</si>
  <si>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</si>
  <si>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</si>
  <si>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</si>
  <si>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</si>
  <si>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</si>
  <si>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</si>
  <si>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</si>
  <si>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</si>
  <si>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</si>
  <si>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</si>
  <si>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</si>
  <si>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</si>
  <si>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</si>
  <si>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</si>
  <si>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</si>
  <si>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</si>
  <si>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</si>
  <si>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</si>
  <si>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</si>
  <si>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</si>
  <si>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</si>
  <si>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</si>
  <si>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</si>
  <si>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</si>
  <si>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</si>
  <si>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</si>
  <si>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</si>
  <si>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</si>
  <si>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</si>
  <si>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</si>
  <si>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</si>
  <si>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</si>
  <si>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</si>
  <si>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</si>
  <si>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</si>
  <si>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</si>
  <si>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</si>
  <si>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</si>
  <si>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</si>
  <si>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</si>
  <si>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</si>
  <si>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</si>
  <si>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</si>
  <si>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</si>
  <si>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</si>
  <si>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</si>
  <si>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</si>
  <si>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</si>
  <si>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</si>
  <si>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</si>
  <si>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</si>
  <si>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</si>
  <si>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</si>
  <si>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</si>
  <si>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</si>
  <si>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</si>
  <si>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</si>
  <si>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</si>
  <si>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</si>
  <si>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</si>
  <si>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</si>
  <si>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</si>
  <si>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</si>
  <si>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</si>
  <si>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</si>
  <si>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</si>
  <si>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</si>
  <si>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</si>
  <si>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</si>
  <si>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</si>
  <si>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</si>
  <si>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</si>
  <si>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</si>
  <si>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</si>
  <si>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</si>
  <si>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</si>
  <si>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</si>
  <si>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</si>
  <si>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</si>
  <si>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</si>
  <si>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</si>
  <si>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</si>
  <si>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</si>
  <si>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</si>
  <si>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</si>
  <si>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</si>
  <si>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</si>
  <si>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</si>
  <si>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</si>
  <si>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</si>
  <si>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</si>
  <si>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</si>
  <si>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</si>
  <si>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</si>
  <si>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</si>
  <si>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</si>
  <si>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</si>
  <si>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</si>
  <si>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</si>
  <si>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</si>
  <si>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</si>
  <si>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</si>
  <si>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</si>
  <si>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</si>
  <si>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</si>
  <si>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</si>
  <si>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</si>
  <si>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</si>
  <si>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</si>
  <si>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</si>
  <si>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</si>
  <si>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</si>
  <si>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</si>
  <si>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</si>
  <si>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</si>
  <si>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</si>
  <si>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</si>
  <si>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</si>
  <si>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</si>
  <si>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</si>
  <si>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</si>
  <si>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</si>
  <si>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</si>
  <si>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</si>
  <si>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</si>
  <si>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</si>
  <si>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</si>
  <si>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</si>
  <si>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</si>
  <si>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</si>
  <si>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</si>
  <si>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</si>
  <si>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</si>
  <si>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</si>
  <si>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</si>
  <si>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</si>
  <si>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</si>
  <si>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</si>
  <si>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</si>
  <si>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</si>
  <si>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</si>
  <si>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</si>
  <si>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</si>
  <si>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</si>
  <si>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</si>
  <si>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</si>
  <si>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</si>
  <si>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</si>
  <si>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</si>
  <si>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</si>
  <si>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</si>
  <si>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</si>
  <si>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</si>
  <si>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</si>
  <si>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</si>
  <si>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</si>
  <si>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</si>
  <si>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</si>
  <si>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</si>
  <si>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</si>
  <si>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</si>
  <si>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</si>
  <si>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</si>
  <si>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</si>
  <si>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</si>
  <si>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</si>
  <si>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</si>
  <si>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</si>
  <si>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</si>
  <si>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</si>
  <si>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</si>
  <si>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</si>
  <si>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</si>
  <si>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</si>
  <si>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</si>
  <si>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</si>
  <si>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</si>
  <si>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</si>
  <si>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</si>
  <si>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</si>
  <si>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</si>
  <si>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</si>
  <si>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</si>
  <si>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</si>
  <si>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</si>
  <si>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</si>
  <si>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</si>
  <si>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</si>
  <si>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</si>
  <si>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</si>
  <si>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</si>
  <si>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</si>
  <si>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</si>
  <si>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</si>
  <si>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</si>
  <si>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</si>
  <si>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</si>
  <si>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</si>
  <si>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</si>
  <si>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</si>
  <si>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</si>
  <si>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</si>
  <si>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</si>
  <si>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</si>
  <si>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</si>
  <si>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</si>
  <si>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</si>
  <si>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</si>
  <si>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</si>
  <si>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</si>
  <si>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</si>
  <si>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</si>
  <si>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</si>
  <si>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</si>
  <si>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</si>
  <si>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</si>
  <si>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</si>
  <si>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</si>
  <si>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</si>
  <si>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</si>
  <si>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</si>
  <si>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</si>
  <si>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</si>
  <si>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</si>
  <si>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</si>
  <si>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</si>
  <si>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</si>
  <si>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</si>
  <si>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</si>
  <si>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</si>
  <si>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</si>
  <si>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</si>
  <si>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</si>
  <si>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</si>
  <si>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</si>
  <si>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</si>
  <si>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</si>
  <si>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</si>
  <si>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</si>
  <si>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</si>
  <si>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</si>
  <si>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</si>
  <si>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</si>
  <si>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</si>
  <si>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</si>
  <si>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</si>
  <si>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</si>
  <si>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</si>
  <si>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</si>
  <si>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</si>
  <si>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</si>
  <si>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</si>
  <si>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</si>
  <si>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</si>
  <si>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</si>
  <si>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</si>
  <si>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</si>
  <si>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</si>
  <si>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</si>
  <si>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</si>
  <si>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</si>
  <si>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</si>
  <si>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</si>
  <si>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</si>
  <si>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</si>
  <si>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</si>
  <si>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</si>
  <si>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</si>
  <si>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</si>
  <si>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</si>
  <si>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</si>
  <si>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</si>
  <si>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</si>
  <si>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</si>
  <si>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</si>
  <si>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Al 31 de diciembre de 2018 y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</si>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</sst>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7" workbookViewId="0">
      <selection activeCell="B21" sqref="B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37825264</v>
      </c>
      <c r="C8" s="40">
        <f t="shared" ref="C8:D8" si="0">SUM(C9:C11)</f>
        <v>33847925.5</v>
      </c>
      <c r="D8" s="40">
        <f t="shared" si="0"/>
        <v>30695820.5</v>
      </c>
    </row>
    <row r="9" spans="1:11" x14ac:dyDescent="0.25">
      <c r="A9" s="53" t="s">
        <v>169</v>
      </c>
      <c r="B9" s="23">
        <v>37825264</v>
      </c>
      <c r="C9" s="23">
        <v>33847925.5</v>
      </c>
      <c r="D9" s="23">
        <v>30695820.5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37825263.999999985</v>
      </c>
      <c r="C13" s="40">
        <f t="shared" ref="C13:D13" si="2">C14+C15</f>
        <v>25505434.919999998</v>
      </c>
      <c r="D13" s="40">
        <f t="shared" si="2"/>
        <v>25181610.93</v>
      </c>
    </row>
    <row r="14" spans="1:11" x14ac:dyDescent="0.25">
      <c r="A14" s="53" t="s">
        <v>172</v>
      </c>
      <c r="B14" s="23">
        <v>37825263.999999985</v>
      </c>
      <c r="C14" s="23">
        <v>25505434.919999998</v>
      </c>
      <c r="D14" s="23">
        <v>25181610.93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1.4901161193847656E-8</v>
      </c>
      <c r="C21" s="40">
        <f>C8-C13+C17</f>
        <v>8342490.5800000019</v>
      </c>
      <c r="D21" s="40">
        <f t="shared" ref="C21:D21" si="4">D8-D13+D17</f>
        <v>5514209.5700000003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1.4901161193847656E-8</v>
      </c>
      <c r="C23" s="40">
        <f t="shared" ref="C23:D23" si="5">C21-C11</f>
        <v>8342490.5800000019</v>
      </c>
      <c r="D23" s="40">
        <f t="shared" si="5"/>
        <v>5514209.5700000003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1.4901161193847656E-8</v>
      </c>
      <c r="C25" s="40">
        <f t="shared" ref="C25" si="6">C23-C17</f>
        <v>8342490.5800000019</v>
      </c>
      <c r="D25" s="40">
        <f>D23-D17</f>
        <v>5514209.5700000003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1.4901161193847656E-8</v>
      </c>
      <c r="C33" s="61">
        <f t="shared" ref="C33:D33" si="8">C25+C29</f>
        <v>8342490.5800000019</v>
      </c>
      <c r="D33" s="61">
        <f t="shared" si="8"/>
        <v>5514209.5700000003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37825264</v>
      </c>
      <c r="C48" s="124">
        <f>C9</f>
        <v>33847925.5</v>
      </c>
      <c r="D48" s="124">
        <f t="shared" ref="D48" si="12">D9</f>
        <v>30695820.5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37825263.999999985</v>
      </c>
      <c r="C53" s="60">
        <f t="shared" ref="C53:D53" si="14">C14</f>
        <v>25505434.919999998</v>
      </c>
      <c r="D53" s="60">
        <f t="shared" si="14"/>
        <v>25181610.93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1.4901161193847656E-8</v>
      </c>
      <c r="C57" s="61">
        <f>C48+C49-C53+C55</f>
        <v>8342490.5800000019</v>
      </c>
      <c r="D57" s="61">
        <f t="shared" ref="D57" si="16">D48+D49-D53+D55</f>
        <v>5514209.5700000003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1.4901161193847656E-8</v>
      </c>
      <c r="C59" s="61">
        <f t="shared" ref="C59:D59" si="17">C57-C49</f>
        <v>8342490.5800000019</v>
      </c>
      <c r="D59" s="61">
        <f t="shared" si="17"/>
        <v>5514209.5700000003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37825264</v>
      </c>
      <c r="Q2" s="18">
        <f>'Formato 4'!C8</f>
        <v>33847925.5</v>
      </c>
      <c r="R2" s="18">
        <f>'Formato 4'!D8</f>
        <v>30695820.5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37825264</v>
      </c>
      <c r="Q3" s="18">
        <f>'Formato 4'!C9</f>
        <v>33847925.5</v>
      </c>
      <c r="R3" s="18">
        <f>'Formato 4'!D9</f>
        <v>30695820.5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37825263.999999985</v>
      </c>
      <c r="Q6" s="18">
        <f>'Formato 4'!C13</f>
        <v>25505434.919999998</v>
      </c>
      <c r="R6" s="18">
        <f>'Formato 4'!D13</f>
        <v>25181610.93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37825263.999999985</v>
      </c>
      <c r="Q7" s="18">
        <f>'Formato 4'!C14</f>
        <v>25505434.919999998</v>
      </c>
      <c r="R7" s="18">
        <f>'Formato 4'!D14</f>
        <v>25181610.93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1.4901161193847656E-8</v>
      </c>
      <c r="Q12" s="18">
        <f>'Formato 4'!C21</f>
        <v>8342490.5800000019</v>
      </c>
      <c r="R12" s="18">
        <f>'Formato 4'!D21</f>
        <v>5514209.5700000003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1.4901161193847656E-8</v>
      </c>
      <c r="Q13" s="18">
        <f>'Formato 4'!C23</f>
        <v>8342490.5800000019</v>
      </c>
      <c r="R13" s="18">
        <f>'Formato 4'!D23</f>
        <v>5514209.5700000003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1.4901161193847656E-8</v>
      </c>
      <c r="Q14" s="18">
        <f>'Formato 4'!C25</f>
        <v>8342490.5800000019</v>
      </c>
      <c r="R14" s="18">
        <f>'Formato 4'!D25</f>
        <v>5514209.5700000003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1.4901161193847656E-8</v>
      </c>
      <c r="Q18">
        <f>'Formato 4'!C33</f>
        <v>8342490.5800000019</v>
      </c>
      <c r="R18">
        <f>'Formato 4'!D33</f>
        <v>5514209.5700000003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37825264</v>
      </c>
      <c r="Q26">
        <f>'Formato 4'!C48</f>
        <v>33847925.5</v>
      </c>
      <c r="R26">
        <f>'Formato 4'!D48</f>
        <v>30695820.5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37825263.999999985</v>
      </c>
      <c r="Q30">
        <f>'Formato 4'!C53</f>
        <v>25505434.919999998</v>
      </c>
      <c r="R30">
        <f>'Formato 4'!D53</f>
        <v>25181610.93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7" zoomScale="85" zoomScaleNormal="85" workbookViewId="0">
      <selection activeCell="A37" sqref="A37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4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23459.5</v>
      </c>
      <c r="F13" s="60">
        <v>23459.5</v>
      </c>
      <c r="G13" s="60">
        <f>F13-B13</f>
        <v>23459.5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/>
      <c r="G15" s="60">
        <f>F15-B15</f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/>
      <c r="C28" s="60"/>
      <c r="D28" s="60"/>
      <c r="E28" s="60"/>
      <c r="F28" s="60"/>
      <c r="G28" s="60">
        <f t="shared" ref="G28" si="3">SUM(G29:G33)</f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3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>
        <v>37825264</v>
      </c>
      <c r="C34" s="60">
        <v>2278416</v>
      </c>
      <c r="D34" s="60">
        <v>40103680</v>
      </c>
      <c r="E34" s="60">
        <v>33799466</v>
      </c>
      <c r="F34" s="60">
        <v>30647361</v>
      </c>
      <c r="G34" s="60">
        <f>F34-B34</f>
        <v>-7177903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>C38+C39</f>
        <v>25000</v>
      </c>
      <c r="D37" s="60">
        <f>D38+D39</f>
        <v>25000</v>
      </c>
      <c r="E37" s="60">
        <f>E38+E39</f>
        <v>25000</v>
      </c>
      <c r="F37" s="60">
        <f>F38+F39</f>
        <v>25000</v>
      </c>
      <c r="G37" s="60">
        <f>G38+G39</f>
        <v>25000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25000</v>
      </c>
      <c r="D39" s="60">
        <v>25000</v>
      </c>
      <c r="E39" s="60">
        <v>25000</v>
      </c>
      <c r="F39" s="60">
        <v>25000</v>
      </c>
      <c r="G39" s="60">
        <f>F39-B39</f>
        <v>25000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37825264</v>
      </c>
      <c r="C41" s="61">
        <f t="shared" ref="C41:E41" si="5">SUM(C9,C10,C11,C12,C13,C14,C15,C16,C28,C34,C35,C37)</f>
        <v>2303416</v>
      </c>
      <c r="D41" s="61">
        <f t="shared" si="5"/>
        <v>40128680</v>
      </c>
      <c r="E41" s="61">
        <f t="shared" si="5"/>
        <v>33847925.5</v>
      </c>
      <c r="F41" s="61">
        <f>SUM(F9,F10,F11,F12,F13,F14,F15,F16,F28,F34,F35,F37)</f>
        <v>30695820.5</v>
      </c>
      <c r="G41" s="61">
        <f>SUM(G9,G10,G11,G12,G13,G14,G15,G16,G28,G34,G35,G37)</f>
        <v>-7129443.5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6">SUM(C46:C53)</f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7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7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7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7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7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7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7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8">SUM(C55:C58)</f>
        <v>0</v>
      </c>
      <c r="D54" s="60">
        <f t="shared" si="8"/>
        <v>0</v>
      </c>
      <c r="E54" s="60">
        <f t="shared" si="8"/>
        <v>0</v>
      </c>
      <c r="F54" s="60">
        <f t="shared" si="8"/>
        <v>0</v>
      </c>
      <c r="G54" s="60">
        <f t="shared" si="8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9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9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37825264</v>
      </c>
      <c r="C70" s="61">
        <f t="shared" ref="C70:G70" si="13">C41+C65+C67</f>
        <v>2303416</v>
      </c>
      <c r="D70" s="61">
        <f t="shared" si="13"/>
        <v>40128680</v>
      </c>
      <c r="E70" s="61">
        <f t="shared" si="13"/>
        <v>33847925.5</v>
      </c>
      <c r="F70" s="61">
        <f t="shared" si="13"/>
        <v>30695820.5</v>
      </c>
      <c r="G70" s="61">
        <f t="shared" si="13"/>
        <v>-7129443.5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23459.5</v>
      </c>
      <c r="T7" s="18">
        <f>'Formato 5'!F13</f>
        <v>23459.5</v>
      </c>
      <c r="U7" s="18">
        <f>'Formato 5'!G13</f>
        <v>23459.5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37825264</v>
      </c>
      <c r="Q28" s="18">
        <f>'Formato 5'!C34</f>
        <v>2278416</v>
      </c>
      <c r="R28" s="18">
        <f>'Formato 5'!D34</f>
        <v>40103680</v>
      </c>
      <c r="S28" s="18">
        <f>'Formato 5'!E34</f>
        <v>33799466</v>
      </c>
      <c r="T28" s="18">
        <f>'Formato 5'!F34</f>
        <v>30647361</v>
      </c>
      <c r="U28" s="18">
        <f>'Formato 5'!G34</f>
        <v>-7177903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25000</v>
      </c>
      <c r="R31" s="18">
        <f>'Formato 5'!D37</f>
        <v>25000</v>
      </c>
      <c r="S31" s="18">
        <f>'Formato 5'!E37</f>
        <v>25000</v>
      </c>
      <c r="T31" s="18">
        <f>'Formato 5'!F37</f>
        <v>25000</v>
      </c>
      <c r="U31" s="18">
        <f>'Formato 5'!G37</f>
        <v>25000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25000</v>
      </c>
      <c r="R33" s="18">
        <f>'Formato 5'!D39</f>
        <v>25000</v>
      </c>
      <c r="S33" s="18">
        <f>'Formato 5'!E39</f>
        <v>25000</v>
      </c>
      <c r="T33" s="18">
        <f>'Formato 5'!F39</f>
        <v>25000</v>
      </c>
      <c r="U33" s="18">
        <f>'Formato 5'!G39</f>
        <v>25000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37825264</v>
      </c>
      <c r="Q34">
        <f>'Formato 5'!C41</f>
        <v>2303416</v>
      </c>
      <c r="R34">
        <f>'Formato 5'!D41</f>
        <v>40128680</v>
      </c>
      <c r="S34">
        <f>'Formato 5'!E41</f>
        <v>33847925.5</v>
      </c>
      <c r="T34">
        <f>'Formato 5'!F41</f>
        <v>30695820.5</v>
      </c>
      <c r="U34">
        <f>'Formato 5'!G41</f>
        <v>-7129443.5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8" zoomScale="98" zoomScaleNormal="98" zoomScalePageLayoutView="90" workbookViewId="0">
      <selection activeCell="B10" sqref="B10:F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37825263.999999985</v>
      </c>
      <c r="C9" s="79">
        <f t="shared" ref="C9:G9" si="0">SUM(C10,C18,C28,C38,C48,C58,C62,C71,C75)</f>
        <v>2303416</v>
      </c>
      <c r="D9" s="79">
        <f t="shared" si="0"/>
        <v>40128679.999999985</v>
      </c>
      <c r="E9" s="79">
        <f>SUM(E10,E18,E28,E38,E48,E58,E62,E71,E75)</f>
        <v>25505434.919999998</v>
      </c>
      <c r="F9" s="79">
        <f t="shared" si="0"/>
        <v>25181610.93</v>
      </c>
      <c r="G9" s="79">
        <f t="shared" si="0"/>
        <v>14623245.079999983</v>
      </c>
    </row>
    <row r="10" spans="1:7" x14ac:dyDescent="0.25">
      <c r="A10" s="83" t="s">
        <v>286</v>
      </c>
      <c r="B10" s="80">
        <f>+SUM(B11:B17)</f>
        <v>28905068.518383287</v>
      </c>
      <c r="C10" s="80">
        <f t="shared" ref="C10:F10" si="1">+SUM(C11:C17)</f>
        <v>-3131767.0300000003</v>
      </c>
      <c r="D10" s="80">
        <f t="shared" si="1"/>
        <v>25773301.488383286</v>
      </c>
      <c r="E10" s="80">
        <f t="shared" si="1"/>
        <v>15455301.539999999</v>
      </c>
      <c r="F10" s="80">
        <f t="shared" si="1"/>
        <v>15455301.539999999</v>
      </c>
      <c r="G10" s="80">
        <f>SUM(G11:G17)</f>
        <v>10317999.948383287</v>
      </c>
    </row>
    <row r="11" spans="1:7" x14ac:dyDescent="0.25">
      <c r="A11" s="84" t="s">
        <v>287</v>
      </c>
      <c r="B11" s="80">
        <v>17189810.326956499</v>
      </c>
      <c r="C11" s="80">
        <v>-1775454.32</v>
      </c>
      <c r="D11" s="80">
        <v>15414356.006956499</v>
      </c>
      <c r="E11" s="80">
        <v>10208494.149999999</v>
      </c>
      <c r="F11" s="80">
        <v>10208494.15</v>
      </c>
      <c r="G11" s="80">
        <f>D11-E11</f>
        <v>5205861.8569565006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ref="G11:G16" si="2">D12-E12</f>
        <v>0</v>
      </c>
    </row>
    <row r="13" spans="1:7" x14ac:dyDescent="0.25">
      <c r="A13" s="84" t="s">
        <v>289</v>
      </c>
      <c r="B13" s="80">
        <v>2962482.0803881548</v>
      </c>
      <c r="C13" s="80">
        <v>-225312.71</v>
      </c>
      <c r="D13" s="80">
        <v>2737169.3703881549</v>
      </c>
      <c r="E13" s="80">
        <v>579855.67999999993</v>
      </c>
      <c r="F13" s="80">
        <v>579855.67999999993</v>
      </c>
      <c r="G13" s="80">
        <f t="shared" si="2"/>
        <v>2157313.6903881552</v>
      </c>
    </row>
    <row r="14" spans="1:7" x14ac:dyDescent="0.25">
      <c r="A14" s="84" t="s">
        <v>290</v>
      </c>
      <c r="B14" s="80">
        <v>4244512.9777517356</v>
      </c>
      <c r="C14" s="80">
        <v>-477000</v>
      </c>
      <c r="D14" s="80">
        <v>3767512.9777517356</v>
      </c>
      <c r="E14" s="80">
        <v>2253605.66</v>
      </c>
      <c r="F14" s="80">
        <v>2253605.66</v>
      </c>
      <c r="G14" s="80">
        <f t="shared" si="2"/>
        <v>1513907.3177517354</v>
      </c>
    </row>
    <row r="15" spans="1:7" x14ac:dyDescent="0.25">
      <c r="A15" s="84" t="s">
        <v>291</v>
      </c>
      <c r="B15" s="80">
        <v>4508263.1332868971</v>
      </c>
      <c r="C15" s="80">
        <v>-654000</v>
      </c>
      <c r="D15" s="80">
        <v>3854263.1332868971</v>
      </c>
      <c r="E15" s="80">
        <v>2413346.0499999998</v>
      </c>
      <c r="F15" s="80">
        <v>2413346.0499999998</v>
      </c>
      <c r="G15" s="80">
        <f t="shared" si="2"/>
        <v>1440917.0832868973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ref="G17" si="3">D17-E17</f>
        <v>0</v>
      </c>
    </row>
    <row r="18" spans="1:7" x14ac:dyDescent="0.25">
      <c r="A18" s="83" t="s">
        <v>294</v>
      </c>
      <c r="B18" s="80">
        <f>SUM(B19:B27)</f>
        <v>1213183.75</v>
      </c>
      <c r="C18" s="80">
        <f t="shared" ref="C18:F18" si="4">SUM(C19:C27)</f>
        <v>472120.52</v>
      </c>
      <c r="D18" s="80">
        <f t="shared" si="4"/>
        <v>1685304.27</v>
      </c>
      <c r="E18" s="80">
        <f t="shared" si="4"/>
        <v>1018127.9400000002</v>
      </c>
      <c r="F18" s="80">
        <f t="shared" si="4"/>
        <v>1012411.78</v>
      </c>
      <c r="G18" s="80">
        <f>SUM(G19:G27)</f>
        <v>667176.32999999984</v>
      </c>
    </row>
    <row r="19" spans="1:7" x14ac:dyDescent="0.25">
      <c r="A19" s="84" t="s">
        <v>295</v>
      </c>
      <c r="B19" s="80">
        <v>106533.75</v>
      </c>
      <c r="C19" s="80">
        <v>211525.23</v>
      </c>
      <c r="D19" s="80">
        <v>318058.98</v>
      </c>
      <c r="E19" s="80">
        <v>202225.06</v>
      </c>
      <c r="F19" s="80">
        <v>196508.9</v>
      </c>
      <c r="G19" s="80">
        <f>D19-E19</f>
        <v>115833.91999999998</v>
      </c>
    </row>
    <row r="20" spans="1:7" x14ac:dyDescent="0.25">
      <c r="A20" s="84" t="s">
        <v>296</v>
      </c>
      <c r="B20" s="80">
        <v>60000</v>
      </c>
      <c r="C20" s="80">
        <v>-56527</v>
      </c>
      <c r="D20" s="80">
        <v>3473</v>
      </c>
      <c r="E20" s="80">
        <v>3473</v>
      </c>
      <c r="F20" s="80">
        <v>3473</v>
      </c>
      <c r="G20" s="80">
        <f t="shared" ref="G20:G27" si="5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5"/>
        <v>0</v>
      </c>
    </row>
    <row r="22" spans="1:7" x14ac:dyDescent="0.25">
      <c r="A22" s="84" t="s">
        <v>298</v>
      </c>
      <c r="B22" s="80">
        <v>75600</v>
      </c>
      <c r="C22" s="80">
        <v>450032.74</v>
      </c>
      <c r="D22" s="80">
        <v>525632.74</v>
      </c>
      <c r="E22" s="80">
        <v>486927.79000000004</v>
      </c>
      <c r="F22" s="80">
        <v>486927.79000000004</v>
      </c>
      <c r="G22" s="80">
        <f t="shared" si="5"/>
        <v>38704.949999999953</v>
      </c>
    </row>
    <row r="23" spans="1:7" x14ac:dyDescent="0.25">
      <c r="A23" s="84" t="s">
        <v>299</v>
      </c>
      <c r="B23" s="80">
        <v>5250</v>
      </c>
      <c r="C23" s="80">
        <v>8367</v>
      </c>
      <c r="D23" s="80">
        <v>13617</v>
      </c>
      <c r="E23" s="80">
        <v>7976.99</v>
      </c>
      <c r="F23" s="80">
        <v>7976.99</v>
      </c>
      <c r="G23" s="80">
        <f t="shared" si="5"/>
        <v>5640.01</v>
      </c>
    </row>
    <row r="24" spans="1:7" x14ac:dyDescent="0.25">
      <c r="A24" s="84" t="s">
        <v>300</v>
      </c>
      <c r="B24" s="80">
        <v>780000</v>
      </c>
      <c r="C24" s="80">
        <v>-167893.44999999995</v>
      </c>
      <c r="D24" s="80">
        <v>612106.55000000005</v>
      </c>
      <c r="E24" s="80">
        <v>233261.02</v>
      </c>
      <c r="F24" s="80">
        <v>233261.02</v>
      </c>
      <c r="G24" s="80">
        <f t="shared" si="5"/>
        <v>378845.53</v>
      </c>
    </row>
    <row r="25" spans="1:7" x14ac:dyDescent="0.25">
      <c r="A25" s="84" t="s">
        <v>301</v>
      </c>
      <c r="B25" s="80">
        <v>14200</v>
      </c>
      <c r="C25" s="80">
        <v>26616</v>
      </c>
      <c r="D25" s="80">
        <v>40816</v>
      </c>
      <c r="E25" s="80">
        <v>37847.269999999997</v>
      </c>
      <c r="F25" s="80">
        <v>37847.269999999997</v>
      </c>
      <c r="G25" s="80">
        <f t="shared" si="5"/>
        <v>2968.7300000000032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5"/>
        <v>0</v>
      </c>
    </row>
    <row r="27" spans="1:7" x14ac:dyDescent="0.25">
      <c r="A27" s="84" t="s">
        <v>303</v>
      </c>
      <c r="B27" s="80">
        <v>171600</v>
      </c>
      <c r="C27" s="80">
        <v>0</v>
      </c>
      <c r="D27" s="80">
        <v>171600</v>
      </c>
      <c r="E27" s="80">
        <v>46416.81</v>
      </c>
      <c r="F27" s="80">
        <v>46416.81</v>
      </c>
      <c r="G27" s="80">
        <f t="shared" si="5"/>
        <v>125183.19</v>
      </c>
    </row>
    <row r="28" spans="1:7" x14ac:dyDescent="0.25">
      <c r="A28" s="83" t="s">
        <v>304</v>
      </c>
      <c r="B28" s="80">
        <f>SUM(B29:B37)</f>
        <v>4087134.3116166955</v>
      </c>
      <c r="C28" s="80">
        <f t="shared" ref="C28:G28" si="6">SUM(C29:C37)</f>
        <v>4133724.2600000002</v>
      </c>
      <c r="D28" s="80">
        <f t="shared" si="6"/>
        <v>8220858.5716166953</v>
      </c>
      <c r="E28" s="80">
        <f t="shared" si="6"/>
        <v>4928419.33</v>
      </c>
      <c r="F28" s="80">
        <f t="shared" si="6"/>
        <v>4625531.5100000007</v>
      </c>
      <c r="G28" s="80">
        <f t="shared" si="6"/>
        <v>3292439.2416166961</v>
      </c>
    </row>
    <row r="29" spans="1:7" x14ac:dyDescent="0.25">
      <c r="A29" s="84" t="s">
        <v>305</v>
      </c>
      <c r="B29" s="80">
        <v>169240</v>
      </c>
      <c r="C29" s="80">
        <v>43240.9</v>
      </c>
      <c r="D29" s="80">
        <v>212480.9</v>
      </c>
      <c r="E29" s="80">
        <v>113184.84999999999</v>
      </c>
      <c r="F29" s="80">
        <v>110515.84999999999</v>
      </c>
      <c r="G29" s="80">
        <f>D29-E29</f>
        <v>99296.05</v>
      </c>
    </row>
    <row r="30" spans="1:7" x14ac:dyDescent="0.25">
      <c r="A30" s="84" t="s">
        <v>306</v>
      </c>
      <c r="B30" s="80">
        <v>39906</v>
      </c>
      <c r="C30" s="80">
        <v>31500</v>
      </c>
      <c r="D30" s="80">
        <v>71406</v>
      </c>
      <c r="E30" s="80">
        <v>40937.4</v>
      </c>
      <c r="F30" s="80">
        <v>38847.42</v>
      </c>
      <c r="G30" s="80">
        <f t="shared" ref="G30:G37" si="7">D30-E30</f>
        <v>30468.6</v>
      </c>
    </row>
    <row r="31" spans="1:7" x14ac:dyDescent="0.25">
      <c r="A31" s="84" t="s">
        <v>307</v>
      </c>
      <c r="B31" s="80">
        <v>686600</v>
      </c>
      <c r="C31" s="80">
        <v>1404158.21</v>
      </c>
      <c r="D31" s="80">
        <v>2090758.21</v>
      </c>
      <c r="E31" s="80">
        <v>1288263.83</v>
      </c>
      <c r="F31" s="80">
        <v>1288263.83</v>
      </c>
      <c r="G31" s="80">
        <f t="shared" si="7"/>
        <v>802494.37999999989</v>
      </c>
    </row>
    <row r="32" spans="1:7" x14ac:dyDescent="0.25">
      <c r="A32" s="84" t="s">
        <v>308</v>
      </c>
      <c r="B32" s="80">
        <v>151500</v>
      </c>
      <c r="C32" s="80">
        <v>98912.5</v>
      </c>
      <c r="D32" s="80">
        <v>250412.5</v>
      </c>
      <c r="E32" s="80">
        <v>57315.519999999997</v>
      </c>
      <c r="F32" s="80">
        <v>57315.519999999997</v>
      </c>
      <c r="G32" s="80">
        <f t="shared" si="7"/>
        <v>193096.98</v>
      </c>
    </row>
    <row r="33" spans="1:7" x14ac:dyDescent="0.25">
      <c r="A33" s="84" t="s">
        <v>309</v>
      </c>
      <c r="B33" s="80">
        <v>950100</v>
      </c>
      <c r="C33" s="80">
        <v>-150266.56999999998</v>
      </c>
      <c r="D33" s="80">
        <v>799833.43</v>
      </c>
      <c r="E33" s="80">
        <v>207276.51</v>
      </c>
      <c r="F33" s="80">
        <v>207276.51</v>
      </c>
      <c r="G33" s="80">
        <f t="shared" si="7"/>
        <v>592556.92000000004</v>
      </c>
    </row>
    <row r="34" spans="1:7" x14ac:dyDescent="0.25">
      <c r="A34" s="84" t="s">
        <v>310</v>
      </c>
      <c r="B34" s="80">
        <v>73200</v>
      </c>
      <c r="C34" s="80">
        <v>260939.88</v>
      </c>
      <c r="D34" s="80">
        <v>334139.88</v>
      </c>
      <c r="E34" s="80">
        <v>286322.14</v>
      </c>
      <c r="F34" s="80">
        <v>286322.14</v>
      </c>
      <c r="G34" s="80">
        <f t="shared" si="7"/>
        <v>47817.739999999991</v>
      </c>
    </row>
    <row r="35" spans="1:7" x14ac:dyDescent="0.25">
      <c r="A35" s="84" t="s">
        <v>311</v>
      </c>
      <c r="B35" s="80">
        <v>116840</v>
      </c>
      <c r="C35" s="80">
        <v>0</v>
      </c>
      <c r="D35" s="80">
        <v>116840</v>
      </c>
      <c r="E35" s="80">
        <v>58573.439999999995</v>
      </c>
      <c r="F35" s="80">
        <v>58573.439999999995</v>
      </c>
      <c r="G35" s="80">
        <f t="shared" si="7"/>
        <v>58266.560000000005</v>
      </c>
    </row>
    <row r="36" spans="1:7" x14ac:dyDescent="0.25">
      <c r="A36" s="84" t="s">
        <v>312</v>
      </c>
      <c r="B36" s="80">
        <v>1496092.3116166957</v>
      </c>
      <c r="C36" s="80">
        <v>2416500.2000000002</v>
      </c>
      <c r="D36" s="80">
        <v>3912592.5116166957</v>
      </c>
      <c r="E36" s="80">
        <v>2567285.1999999997</v>
      </c>
      <c r="F36" s="80">
        <v>2292580.36</v>
      </c>
      <c r="G36" s="80">
        <f t="shared" si="7"/>
        <v>1345307.311616696</v>
      </c>
    </row>
    <row r="37" spans="1:7" x14ac:dyDescent="0.25">
      <c r="A37" s="84" t="s">
        <v>313</v>
      </c>
      <c r="B37" s="80">
        <v>403656</v>
      </c>
      <c r="C37" s="80">
        <v>28739.14</v>
      </c>
      <c r="D37" s="80">
        <v>432395.14</v>
      </c>
      <c r="E37" s="80">
        <v>309260.44</v>
      </c>
      <c r="F37" s="80">
        <v>285836.44</v>
      </c>
      <c r="G37" s="80">
        <f t="shared" si="7"/>
        <v>123134.70000000001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8">SUM(C39:C47)</f>
        <v>378416</v>
      </c>
      <c r="D38" s="80">
        <f t="shared" si="8"/>
        <v>378416</v>
      </c>
      <c r="E38" s="80">
        <f t="shared" si="8"/>
        <v>294000</v>
      </c>
      <c r="F38" s="80">
        <f t="shared" si="8"/>
        <v>294000</v>
      </c>
      <c r="G38" s="80">
        <f t="shared" si="8"/>
        <v>84416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9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9"/>
        <v>0</v>
      </c>
    </row>
    <row r="42" spans="1:7" x14ac:dyDescent="0.25">
      <c r="A42" s="84" t="s">
        <v>318</v>
      </c>
      <c r="B42" s="80">
        <v>0</v>
      </c>
      <c r="C42" s="80">
        <v>378416</v>
      </c>
      <c r="D42" s="80">
        <v>378416</v>
      </c>
      <c r="E42" s="80">
        <v>294000</v>
      </c>
      <c r="F42" s="80">
        <v>294000</v>
      </c>
      <c r="G42" s="80">
        <f t="shared" si="9"/>
        <v>84416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9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9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9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9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9"/>
        <v>0</v>
      </c>
    </row>
    <row r="48" spans="1:7" x14ac:dyDescent="0.25">
      <c r="A48" s="83" t="s">
        <v>324</v>
      </c>
      <c r="B48" s="80">
        <f>SUM(B49:B57)</f>
        <v>3619877.42</v>
      </c>
      <c r="C48" s="80">
        <f t="shared" ref="C48:G48" si="10">SUM(C49:C57)</f>
        <v>450922.25</v>
      </c>
      <c r="D48" s="80">
        <f t="shared" si="10"/>
        <v>4070799.67</v>
      </c>
      <c r="E48" s="80">
        <f t="shared" si="10"/>
        <v>3809586.11</v>
      </c>
      <c r="F48" s="80">
        <f t="shared" si="10"/>
        <v>3794366.0999999996</v>
      </c>
      <c r="G48" s="80">
        <f>SUM(G49:G57)</f>
        <v>261213.56000000029</v>
      </c>
    </row>
    <row r="49" spans="1:7" x14ac:dyDescent="0.25">
      <c r="A49" s="84" t="s">
        <v>325</v>
      </c>
      <c r="B49" s="80">
        <v>619877.41999999993</v>
      </c>
      <c r="C49" s="80">
        <v>579070.53</v>
      </c>
      <c r="D49" s="80">
        <v>1198947.95</v>
      </c>
      <c r="E49" s="80">
        <v>941271.98</v>
      </c>
      <c r="F49" s="80">
        <v>926051.97</v>
      </c>
      <c r="G49" s="80">
        <f>D49-E49</f>
        <v>257675.96999999997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>D51-E51</f>
        <v>0</v>
      </c>
    </row>
    <row r="52" spans="1:7" x14ac:dyDescent="0.25">
      <c r="A52" s="84" t="s">
        <v>328</v>
      </c>
      <c r="B52" s="80">
        <v>3000000</v>
      </c>
      <c r="C52" s="80">
        <v>-128148.28</v>
      </c>
      <c r="D52" s="80">
        <v>2871851.72</v>
      </c>
      <c r="E52" s="80">
        <v>2868314.13</v>
      </c>
      <c r="F52" s="80">
        <v>2868314.13</v>
      </c>
      <c r="G52" s="80">
        <f>D52-E52</f>
        <v>3537.5900000003166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>D53-E53</f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ref="G50:G57" si="11">D54-E54</f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1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1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1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2">SUM(C59:C61)</f>
        <v>0</v>
      </c>
      <c r="D58" s="80">
        <f t="shared" si="12"/>
        <v>0</v>
      </c>
      <c r="E58" s="80">
        <f t="shared" si="12"/>
        <v>0</v>
      </c>
      <c r="F58" s="80">
        <f t="shared" si="12"/>
        <v>0</v>
      </c>
      <c r="G58" s="80">
        <f t="shared" si="12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3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3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4">SUM(C63:C67,C69:C70)</f>
        <v>0</v>
      </c>
      <c r="D62" s="80">
        <f t="shared" si="14"/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5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5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5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5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5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5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7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9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9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9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9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9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9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0">SUM(C85,C93,C103,C113,C123,C133,C137,C146,C150)</f>
        <v>0</v>
      </c>
      <c r="D84" s="79">
        <f t="shared" si="20"/>
        <v>0</v>
      </c>
      <c r="E84" s="79">
        <f t="shared" si="20"/>
        <v>0</v>
      </c>
      <c r="F84" s="79">
        <f t="shared" si="20"/>
        <v>0</v>
      </c>
      <c r="G84" s="79">
        <f t="shared" si="2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1">SUM(C86:C92)</f>
        <v>0</v>
      </c>
      <c r="D85" s="80">
        <f t="shared" si="21"/>
        <v>0</v>
      </c>
      <c r="E85" s="80">
        <f t="shared" si="21"/>
        <v>0</v>
      </c>
      <c r="F85" s="80">
        <f t="shared" si="21"/>
        <v>0</v>
      </c>
      <c r="G85" s="80">
        <f t="shared" si="2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2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2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2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2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2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2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3">SUM(C94:C102)</f>
        <v>0</v>
      </c>
      <c r="D93" s="80">
        <f t="shared" si="23"/>
        <v>0</v>
      </c>
      <c r="E93" s="80">
        <f t="shared" si="23"/>
        <v>0</v>
      </c>
      <c r="F93" s="80">
        <f t="shared" si="23"/>
        <v>0</v>
      </c>
      <c r="G93" s="80">
        <f t="shared" si="23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4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4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4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4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5">SUM(D104:D112)</f>
        <v>0</v>
      </c>
      <c r="E103" s="80">
        <f t="shared" si="25"/>
        <v>0</v>
      </c>
      <c r="F103" s="80">
        <f t="shared" si="25"/>
        <v>0</v>
      </c>
      <c r="G103" s="80">
        <f t="shared" si="25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6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6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6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6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6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6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6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6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8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8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8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8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8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8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8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0</v>
      </c>
      <c r="D123" s="80">
        <f t="shared" si="29"/>
        <v>0</v>
      </c>
      <c r="E123" s="80">
        <f t="shared" si="29"/>
        <v>0</v>
      </c>
      <c r="F123" s="80">
        <f t="shared" si="29"/>
        <v>0</v>
      </c>
      <c r="G123" s="80">
        <f t="shared" si="29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0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0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0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0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0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0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0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2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4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4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4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4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4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4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6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8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8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8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8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8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37825263.999999985</v>
      </c>
      <c r="C159" s="79">
        <f>C9+C84</f>
        <v>2303416</v>
      </c>
      <c r="D159" s="79">
        <f>D9+D84</f>
        <v>40128679.999999985</v>
      </c>
      <c r="E159" s="79">
        <f t="shared" ref="E159:G159" si="39">E9+E84</f>
        <v>25505434.919999998</v>
      </c>
      <c r="F159" s="79">
        <f t="shared" si="39"/>
        <v>25181610.93</v>
      </c>
      <c r="G159" s="79">
        <f t="shared" si="39"/>
        <v>14623245.079999983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37825263.999999985</v>
      </c>
      <c r="Q2" s="18">
        <f>'Formato 6 a)'!C9</f>
        <v>2303416</v>
      </c>
      <c r="R2" s="18">
        <f>'Formato 6 a)'!D9</f>
        <v>40128679.999999985</v>
      </c>
      <c r="S2" s="18">
        <f>'Formato 6 a)'!E9</f>
        <v>25505434.919999998</v>
      </c>
      <c r="T2" s="18">
        <f>'Formato 6 a)'!F9</f>
        <v>25181610.93</v>
      </c>
      <c r="U2" s="18">
        <f>'Formato 6 a)'!G9</f>
        <v>14623245.079999983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28905068.518383287</v>
      </c>
      <c r="Q3" s="18">
        <f>'Formato 6 a)'!C10</f>
        <v>-3131767.0300000003</v>
      </c>
      <c r="R3" s="18">
        <f>'Formato 6 a)'!D10</f>
        <v>25773301.488383286</v>
      </c>
      <c r="S3" s="18">
        <f>'Formato 6 a)'!E10</f>
        <v>15455301.539999999</v>
      </c>
      <c r="T3" s="18">
        <f>'Formato 6 a)'!F10</f>
        <v>15455301.539999999</v>
      </c>
      <c r="U3" s="18">
        <f>'Formato 6 a)'!G10</f>
        <v>10317999.948383287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17189810.326956499</v>
      </c>
      <c r="Q4" s="18">
        <f>'Formato 6 a)'!C11</f>
        <v>-1775454.32</v>
      </c>
      <c r="R4" s="18">
        <f>'Formato 6 a)'!D11</f>
        <v>15414356.006956499</v>
      </c>
      <c r="S4" s="18">
        <f>'Formato 6 a)'!E11</f>
        <v>10208494.149999999</v>
      </c>
      <c r="T4" s="18">
        <f>'Formato 6 a)'!F11</f>
        <v>10208494.15</v>
      </c>
      <c r="U4" s="18">
        <f>'Formato 6 a)'!G11</f>
        <v>5205861.8569565006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2962482.0803881548</v>
      </c>
      <c r="Q6" s="18">
        <f>'Formato 6 a)'!C13</f>
        <v>-225312.71</v>
      </c>
      <c r="R6" s="18">
        <f>'Formato 6 a)'!D13</f>
        <v>2737169.3703881549</v>
      </c>
      <c r="S6" s="18">
        <f>'Formato 6 a)'!E13</f>
        <v>579855.67999999993</v>
      </c>
      <c r="T6" s="18">
        <f>'Formato 6 a)'!F13</f>
        <v>579855.67999999993</v>
      </c>
      <c r="U6" s="18">
        <f>'Formato 6 a)'!G13</f>
        <v>2157313.6903881552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4244512.9777517356</v>
      </c>
      <c r="Q7" s="18">
        <f>'Formato 6 a)'!C14</f>
        <v>-477000</v>
      </c>
      <c r="R7" s="18">
        <f>'Formato 6 a)'!D14</f>
        <v>3767512.9777517356</v>
      </c>
      <c r="S7" s="18">
        <f>'Formato 6 a)'!E14</f>
        <v>2253605.66</v>
      </c>
      <c r="T7" s="18">
        <f>'Formato 6 a)'!F14</f>
        <v>2253605.66</v>
      </c>
      <c r="U7" s="18">
        <f>'Formato 6 a)'!G14</f>
        <v>1513907.3177517354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4508263.1332868971</v>
      </c>
      <c r="Q8" s="18">
        <f>'Formato 6 a)'!C15</f>
        <v>-654000</v>
      </c>
      <c r="R8" s="18">
        <f>'Formato 6 a)'!D15</f>
        <v>3854263.1332868971</v>
      </c>
      <c r="S8" s="18">
        <f>'Formato 6 a)'!E15</f>
        <v>2413346.0499999998</v>
      </c>
      <c r="T8" s="18">
        <f>'Formato 6 a)'!F15</f>
        <v>2413346.0499999998</v>
      </c>
      <c r="U8" s="18">
        <f>'Formato 6 a)'!G15</f>
        <v>1440917.0832868973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1213183.75</v>
      </c>
      <c r="Q11" s="18">
        <f>'Formato 6 a)'!C18</f>
        <v>472120.52</v>
      </c>
      <c r="R11" s="18">
        <f>'Formato 6 a)'!D18</f>
        <v>1685304.27</v>
      </c>
      <c r="S11" s="18">
        <f>'Formato 6 a)'!E18</f>
        <v>1018127.9400000002</v>
      </c>
      <c r="T11" s="18">
        <f>'Formato 6 a)'!F18</f>
        <v>1012411.78</v>
      </c>
      <c r="U11" s="18">
        <f>'Formato 6 a)'!G18</f>
        <v>667176.32999999984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106533.75</v>
      </c>
      <c r="Q12" s="18">
        <f>'Formato 6 a)'!C19</f>
        <v>211525.23</v>
      </c>
      <c r="R12" s="18">
        <f>'Formato 6 a)'!D19</f>
        <v>318058.98</v>
      </c>
      <c r="S12" s="18">
        <f>'Formato 6 a)'!E19</f>
        <v>202225.06</v>
      </c>
      <c r="T12" s="18">
        <f>'Formato 6 a)'!F19</f>
        <v>196508.9</v>
      </c>
      <c r="U12" s="18">
        <f>'Formato 6 a)'!G19</f>
        <v>115833.91999999998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60000</v>
      </c>
      <c r="Q13" s="18">
        <f>'Formato 6 a)'!C20</f>
        <v>-56527</v>
      </c>
      <c r="R13" s="18">
        <f>'Formato 6 a)'!D20</f>
        <v>3473</v>
      </c>
      <c r="S13" s="18">
        <f>'Formato 6 a)'!E20</f>
        <v>3473</v>
      </c>
      <c r="T13" s="18">
        <f>'Formato 6 a)'!F20</f>
        <v>3473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75600</v>
      </c>
      <c r="Q15" s="18">
        <f>'Formato 6 a)'!C22</f>
        <v>450032.74</v>
      </c>
      <c r="R15" s="18">
        <f>'Formato 6 a)'!D22</f>
        <v>525632.74</v>
      </c>
      <c r="S15" s="18">
        <f>'Formato 6 a)'!E22</f>
        <v>486927.79000000004</v>
      </c>
      <c r="T15" s="18">
        <f>'Formato 6 a)'!F22</f>
        <v>486927.79000000004</v>
      </c>
      <c r="U15" s="18">
        <f>'Formato 6 a)'!G22</f>
        <v>38704.949999999953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5250</v>
      </c>
      <c r="Q16" s="18">
        <f>'Formato 6 a)'!C23</f>
        <v>8367</v>
      </c>
      <c r="R16" s="18">
        <f>'Formato 6 a)'!D23</f>
        <v>13617</v>
      </c>
      <c r="S16" s="18">
        <f>'Formato 6 a)'!E23</f>
        <v>7976.99</v>
      </c>
      <c r="T16" s="18">
        <f>'Formato 6 a)'!F23</f>
        <v>7976.99</v>
      </c>
      <c r="U16" s="18">
        <f>'Formato 6 a)'!G23</f>
        <v>5640.01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780000</v>
      </c>
      <c r="Q17" s="18">
        <f>'Formato 6 a)'!C24</f>
        <v>-167893.44999999995</v>
      </c>
      <c r="R17" s="18">
        <f>'Formato 6 a)'!D24</f>
        <v>612106.55000000005</v>
      </c>
      <c r="S17" s="18">
        <f>'Formato 6 a)'!E24</f>
        <v>233261.02</v>
      </c>
      <c r="T17" s="18">
        <f>'Formato 6 a)'!F24</f>
        <v>233261.02</v>
      </c>
      <c r="U17" s="18">
        <f>'Formato 6 a)'!G24</f>
        <v>378845.53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14200</v>
      </c>
      <c r="Q18" s="18">
        <f>'Formato 6 a)'!C25</f>
        <v>26616</v>
      </c>
      <c r="R18" s="18">
        <f>'Formato 6 a)'!D25</f>
        <v>40816</v>
      </c>
      <c r="S18" s="18">
        <f>'Formato 6 a)'!E25</f>
        <v>37847.269999999997</v>
      </c>
      <c r="T18" s="18">
        <f>'Formato 6 a)'!F25</f>
        <v>37847.269999999997</v>
      </c>
      <c r="U18" s="18">
        <f>'Formato 6 a)'!G25</f>
        <v>2968.7300000000032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171600</v>
      </c>
      <c r="Q20" s="18">
        <f>'Formato 6 a)'!C27</f>
        <v>0</v>
      </c>
      <c r="R20" s="18">
        <f>'Formato 6 a)'!D27</f>
        <v>171600</v>
      </c>
      <c r="S20" s="18">
        <f>'Formato 6 a)'!E27</f>
        <v>46416.81</v>
      </c>
      <c r="T20" s="18">
        <f>'Formato 6 a)'!F27</f>
        <v>46416.81</v>
      </c>
      <c r="U20" s="18">
        <f>'Formato 6 a)'!G27</f>
        <v>125183.19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4087134.3116166955</v>
      </c>
      <c r="Q21" s="18">
        <f>'Formato 6 a)'!C28</f>
        <v>4133724.2600000002</v>
      </c>
      <c r="R21" s="18">
        <f>'Formato 6 a)'!D28</f>
        <v>8220858.5716166953</v>
      </c>
      <c r="S21" s="18">
        <f>'Formato 6 a)'!E28</f>
        <v>4928419.33</v>
      </c>
      <c r="T21" s="18">
        <f>'Formato 6 a)'!F28</f>
        <v>4625531.5100000007</v>
      </c>
      <c r="U21" s="18">
        <f>'Formato 6 a)'!G28</f>
        <v>3292439.2416166961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169240</v>
      </c>
      <c r="Q22" s="18">
        <f>'Formato 6 a)'!C29</f>
        <v>43240.9</v>
      </c>
      <c r="R22" s="18">
        <f>'Formato 6 a)'!D29</f>
        <v>212480.9</v>
      </c>
      <c r="S22" s="18">
        <f>'Formato 6 a)'!E29</f>
        <v>113184.84999999999</v>
      </c>
      <c r="T22" s="18">
        <f>'Formato 6 a)'!F29</f>
        <v>110515.84999999999</v>
      </c>
      <c r="U22" s="18">
        <f>'Formato 6 a)'!G29</f>
        <v>99296.05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39906</v>
      </c>
      <c r="Q23" s="18">
        <f>'Formato 6 a)'!C30</f>
        <v>31500</v>
      </c>
      <c r="R23" s="18">
        <f>'Formato 6 a)'!D30</f>
        <v>71406</v>
      </c>
      <c r="S23" s="18">
        <f>'Formato 6 a)'!E30</f>
        <v>40937.4</v>
      </c>
      <c r="T23" s="18">
        <f>'Formato 6 a)'!F30</f>
        <v>38847.42</v>
      </c>
      <c r="U23" s="18">
        <f>'Formato 6 a)'!G30</f>
        <v>30468.6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686600</v>
      </c>
      <c r="Q24" s="18">
        <f>'Formato 6 a)'!C31</f>
        <v>1404158.21</v>
      </c>
      <c r="R24" s="18">
        <f>'Formato 6 a)'!D31</f>
        <v>2090758.21</v>
      </c>
      <c r="S24" s="18">
        <f>'Formato 6 a)'!E31</f>
        <v>1288263.83</v>
      </c>
      <c r="T24" s="18">
        <f>'Formato 6 a)'!F31</f>
        <v>1288263.83</v>
      </c>
      <c r="U24" s="18">
        <f>'Formato 6 a)'!G31</f>
        <v>802494.37999999989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151500</v>
      </c>
      <c r="Q25" s="18">
        <f>'Formato 6 a)'!C32</f>
        <v>98912.5</v>
      </c>
      <c r="R25" s="18">
        <f>'Formato 6 a)'!D32</f>
        <v>250412.5</v>
      </c>
      <c r="S25" s="18">
        <f>'Formato 6 a)'!E32</f>
        <v>57315.519999999997</v>
      </c>
      <c r="T25" s="18">
        <f>'Formato 6 a)'!F32</f>
        <v>57315.519999999997</v>
      </c>
      <c r="U25" s="18">
        <f>'Formato 6 a)'!G32</f>
        <v>193096.98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950100</v>
      </c>
      <c r="Q26" s="18">
        <f>'Formato 6 a)'!C33</f>
        <v>-150266.56999999998</v>
      </c>
      <c r="R26" s="18">
        <f>'Formato 6 a)'!D33</f>
        <v>799833.43</v>
      </c>
      <c r="S26" s="18">
        <f>'Formato 6 a)'!E33</f>
        <v>207276.51</v>
      </c>
      <c r="T26" s="18">
        <f>'Formato 6 a)'!F33</f>
        <v>207276.51</v>
      </c>
      <c r="U26" s="18">
        <f>'Formato 6 a)'!G33</f>
        <v>592556.92000000004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73200</v>
      </c>
      <c r="Q27" s="18">
        <f>'Formato 6 a)'!C34</f>
        <v>260939.88</v>
      </c>
      <c r="R27" s="18">
        <f>'Formato 6 a)'!D34</f>
        <v>334139.88</v>
      </c>
      <c r="S27" s="18">
        <f>'Formato 6 a)'!E34</f>
        <v>286322.14</v>
      </c>
      <c r="T27" s="18">
        <f>'Formato 6 a)'!F34</f>
        <v>286322.14</v>
      </c>
      <c r="U27" s="18">
        <f>'Formato 6 a)'!G34</f>
        <v>47817.739999999991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116840</v>
      </c>
      <c r="Q28" s="18">
        <f>'Formato 6 a)'!C35</f>
        <v>0</v>
      </c>
      <c r="R28" s="18">
        <f>'Formato 6 a)'!D35</f>
        <v>116840</v>
      </c>
      <c r="S28" s="18">
        <f>'Formato 6 a)'!E35</f>
        <v>58573.439999999995</v>
      </c>
      <c r="T28" s="18">
        <f>'Formato 6 a)'!F35</f>
        <v>58573.439999999995</v>
      </c>
      <c r="U28" s="18">
        <f>'Formato 6 a)'!G35</f>
        <v>58266.560000000005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1496092.3116166957</v>
      </c>
      <c r="Q29" s="18">
        <f>'Formato 6 a)'!C36</f>
        <v>2416500.2000000002</v>
      </c>
      <c r="R29" s="18">
        <f>'Formato 6 a)'!D36</f>
        <v>3912592.5116166957</v>
      </c>
      <c r="S29" s="18">
        <f>'Formato 6 a)'!E36</f>
        <v>2567285.1999999997</v>
      </c>
      <c r="T29" s="18">
        <f>'Formato 6 a)'!F36</f>
        <v>2292580.36</v>
      </c>
      <c r="U29" s="18">
        <f>'Formato 6 a)'!G36</f>
        <v>1345307.311616696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403656</v>
      </c>
      <c r="Q30" s="18">
        <f>'Formato 6 a)'!C37</f>
        <v>28739.14</v>
      </c>
      <c r="R30" s="18">
        <f>'Formato 6 a)'!D37</f>
        <v>432395.14</v>
      </c>
      <c r="S30" s="18">
        <f>'Formato 6 a)'!E37</f>
        <v>309260.44</v>
      </c>
      <c r="T30" s="18">
        <f>'Formato 6 a)'!F37</f>
        <v>285836.44</v>
      </c>
      <c r="U30" s="18">
        <f>'Formato 6 a)'!G37</f>
        <v>123134.70000000001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378416</v>
      </c>
      <c r="R31" s="18">
        <f>'Formato 6 a)'!D38</f>
        <v>378416</v>
      </c>
      <c r="S31" s="18">
        <f>'Formato 6 a)'!E38</f>
        <v>294000</v>
      </c>
      <c r="T31" s="18">
        <f>'Formato 6 a)'!F38</f>
        <v>294000</v>
      </c>
      <c r="U31" s="18">
        <f>'Formato 6 a)'!G38</f>
        <v>84416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378416</v>
      </c>
      <c r="R35" s="18">
        <f>'Formato 6 a)'!D42</f>
        <v>378416</v>
      </c>
      <c r="S35" s="18">
        <f>'Formato 6 a)'!E42</f>
        <v>294000</v>
      </c>
      <c r="T35" s="18">
        <f>'Formato 6 a)'!F42</f>
        <v>294000</v>
      </c>
      <c r="U35" s="18">
        <f>'Formato 6 a)'!G42</f>
        <v>84416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3619877.42</v>
      </c>
      <c r="Q41" s="18">
        <f>'Formato 6 a)'!C48</f>
        <v>450922.25</v>
      </c>
      <c r="R41" s="18">
        <f>'Formato 6 a)'!D48</f>
        <v>4070799.67</v>
      </c>
      <c r="S41" s="18">
        <f>'Formato 6 a)'!E48</f>
        <v>3809586.11</v>
      </c>
      <c r="T41" s="18">
        <f>'Formato 6 a)'!F48</f>
        <v>3794366.0999999996</v>
      </c>
      <c r="U41" s="18">
        <f>'Formato 6 a)'!G48</f>
        <v>261213.56000000029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619877.41999999993</v>
      </c>
      <c r="Q42" s="18">
        <f>'Formato 6 a)'!C49</f>
        <v>579070.53</v>
      </c>
      <c r="R42" s="18">
        <f>'Formato 6 a)'!D49</f>
        <v>1198947.95</v>
      </c>
      <c r="S42" s="18">
        <f>'Formato 6 a)'!E49</f>
        <v>941271.98</v>
      </c>
      <c r="T42" s="18">
        <f>'Formato 6 a)'!F49</f>
        <v>926051.97</v>
      </c>
      <c r="U42" s="18">
        <f>'Formato 6 a)'!G49</f>
        <v>257675.96999999997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3000000</v>
      </c>
      <c r="Q45" s="18">
        <f>'Formato 6 a)'!C52</f>
        <v>-128148.28</v>
      </c>
      <c r="R45" s="18">
        <f>'Formato 6 a)'!D52</f>
        <v>2871851.72</v>
      </c>
      <c r="S45" s="18">
        <f>'Formato 6 a)'!E52</f>
        <v>2868314.13</v>
      </c>
      <c r="T45" s="18">
        <f>'Formato 6 a)'!F52</f>
        <v>2868314.13</v>
      </c>
      <c r="U45" s="18">
        <f>'Formato 6 a)'!G52</f>
        <v>3537.5900000003166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37825263.999999985</v>
      </c>
      <c r="Q150">
        <f>'Formato 6 a)'!C159</f>
        <v>2303416</v>
      </c>
      <c r="R150">
        <f>'Formato 6 a)'!D159</f>
        <v>40128679.999999985</v>
      </c>
      <c r="S150">
        <f>'Formato 6 a)'!E159</f>
        <v>25505434.919999998</v>
      </c>
      <c r="T150">
        <f>'Formato 6 a)'!F159</f>
        <v>25181610.93</v>
      </c>
      <c r="U150">
        <f>'Formato 6 a)'!G159</f>
        <v>14623245.079999983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25" zoomScale="90" zoomScaleNormal="90" workbookViewId="0">
      <selection activeCell="B9" sqref="B9:G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37825264</v>
      </c>
      <c r="C9" s="59">
        <f>SUM(C10:GASTO_NE_FIN_02)</f>
        <v>2303416</v>
      </c>
      <c r="D9" s="59">
        <f>SUM(D10:GASTO_NE_FIN_03)</f>
        <v>40128680</v>
      </c>
      <c r="E9" s="59">
        <f>SUM(E10:GASTO_NE_FIN_04)</f>
        <v>25505434.919999998</v>
      </c>
      <c r="F9" s="59">
        <f>SUM(F10:GASTO_NE_FIN_05)</f>
        <v>25181610.93</v>
      </c>
      <c r="G9" s="59">
        <f>SUM(G10:GASTO_NE_FIN_06)</f>
        <v>14623245.080000002</v>
      </c>
    </row>
    <row r="10" spans="1:7" s="24" customFormat="1" x14ac:dyDescent="0.25">
      <c r="A10" s="144" t="s">
        <v>432</v>
      </c>
      <c r="B10" s="60">
        <v>37825264</v>
      </c>
      <c r="C10" s="60">
        <v>2303416</v>
      </c>
      <c r="D10" s="60">
        <v>40128680</v>
      </c>
      <c r="E10" s="60">
        <v>25505434.919999998</v>
      </c>
      <c r="F10" s="60">
        <v>25181610.93</v>
      </c>
      <c r="G10" s="77">
        <f>D10-E10</f>
        <v>14623245.080000002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37825264</v>
      </c>
      <c r="C29" s="61">
        <f>GASTO_NE_T2+GASTO_E_T2</f>
        <v>2303416</v>
      </c>
      <c r="D29" s="61">
        <f>GASTO_NE_T3+GASTO_E_T3</f>
        <v>40128680</v>
      </c>
      <c r="E29" s="61">
        <f>GASTO_NE_T4+GASTO_E_T4</f>
        <v>25505434.919999998</v>
      </c>
      <c r="F29" s="61">
        <f>GASTO_NE_T5+GASTO_E_T5</f>
        <v>25181610.93</v>
      </c>
      <c r="G29" s="61">
        <f>GASTO_NE_T6+GASTO_E_T6</f>
        <v>14623245.080000002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37825264</v>
      </c>
      <c r="Q2" s="18">
        <f>GASTO_NE_T2</f>
        <v>2303416</v>
      </c>
      <c r="R2" s="18">
        <f>GASTO_NE_T3</f>
        <v>40128680</v>
      </c>
      <c r="S2" s="18">
        <f>GASTO_NE_T4</f>
        <v>25505434.919999998</v>
      </c>
      <c r="T2" s="18">
        <f>GASTO_NE_T5</f>
        <v>25181610.93</v>
      </c>
      <c r="U2" s="18">
        <f>GASTO_NE_T6</f>
        <v>14623245.080000002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37825264</v>
      </c>
      <c r="Q4" s="18">
        <f>TOTAL_E_T2</f>
        <v>2303416</v>
      </c>
      <c r="R4" s="18">
        <f>TOTAL_E_T3</f>
        <v>40128680</v>
      </c>
      <c r="S4" s="18">
        <f>TOTAL_E_T4</f>
        <v>25505434.919999998</v>
      </c>
      <c r="T4" s="18">
        <f>TOTAL_E_T5</f>
        <v>25181610.93</v>
      </c>
      <c r="U4" s="18">
        <f>TOTAL_E_T6</f>
        <v>14623245.080000002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D9" sqref="D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37825264</v>
      </c>
      <c r="C9" s="70">
        <f t="shared" ref="C9:G9" si="0">SUM(C10,C19,C27,C37)</f>
        <v>2303416</v>
      </c>
      <c r="D9" s="70">
        <f t="shared" si="0"/>
        <v>40128680</v>
      </c>
      <c r="E9" s="70">
        <f t="shared" si="0"/>
        <v>25505434.919999998</v>
      </c>
      <c r="F9" s="70">
        <f t="shared" si="0"/>
        <v>25181610.93</v>
      </c>
      <c r="G9" s="70">
        <f t="shared" si="0"/>
        <v>14623245.080000002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37825264</v>
      </c>
      <c r="C19" s="71">
        <f t="shared" ref="C19:F19" si="3">SUM(C20:C26)</f>
        <v>2303416</v>
      </c>
      <c r="D19" s="71">
        <f t="shared" si="3"/>
        <v>40128680</v>
      </c>
      <c r="E19" s="71">
        <f t="shared" si="3"/>
        <v>25505434.919999998</v>
      </c>
      <c r="F19" s="71">
        <f t="shared" si="3"/>
        <v>25181610.93</v>
      </c>
      <c r="G19" s="71">
        <f>SUM(G20:G26)</f>
        <v>14623245.080000002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428416</v>
      </c>
      <c r="D24" s="71">
        <v>428416</v>
      </c>
      <c r="E24" s="71">
        <v>339243.7</v>
      </c>
      <c r="F24" s="71">
        <v>339243.7</v>
      </c>
      <c r="G24" s="72">
        <f>D24-E24</f>
        <v>89172.299999999988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37825264</v>
      </c>
      <c r="C26" s="71">
        <v>1875000</v>
      </c>
      <c r="D26" s="71">
        <v>39700264</v>
      </c>
      <c r="E26" s="71">
        <v>25166191.219999999</v>
      </c>
      <c r="F26" s="71">
        <v>24842367.23</v>
      </c>
      <c r="G26" s="72">
        <f>D26-E26</f>
        <v>14534072.780000001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37825264</v>
      </c>
      <c r="C77" s="73">
        <f t="shared" ref="C77:F77" si="18">C43+C9</f>
        <v>2303416</v>
      </c>
      <c r="D77" s="73">
        <f t="shared" si="18"/>
        <v>40128680</v>
      </c>
      <c r="E77" s="73">
        <f t="shared" si="18"/>
        <v>25505434.919999998</v>
      </c>
      <c r="F77" s="73">
        <f t="shared" si="18"/>
        <v>25181610.93</v>
      </c>
      <c r="G77" s="73">
        <f>G43+G9</f>
        <v>14623245.080000002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37825264</v>
      </c>
      <c r="Q2" s="18">
        <f>'Formato 6 c)'!C9</f>
        <v>2303416</v>
      </c>
      <c r="R2" s="18">
        <f>'Formato 6 c)'!D9</f>
        <v>40128680</v>
      </c>
      <c r="S2" s="18">
        <f>'Formato 6 c)'!E9</f>
        <v>25505434.919999998</v>
      </c>
      <c r="T2" s="18">
        <f>'Formato 6 c)'!F9</f>
        <v>25181610.93</v>
      </c>
      <c r="U2" s="18">
        <f>'Formato 6 c)'!G9</f>
        <v>14623245.080000002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37825264</v>
      </c>
      <c r="Q12" s="18">
        <f>'Formato 6 c)'!C19</f>
        <v>2303416</v>
      </c>
      <c r="R12" s="18">
        <f>'Formato 6 c)'!D19</f>
        <v>40128680</v>
      </c>
      <c r="S12" s="18">
        <f>'Formato 6 c)'!E19</f>
        <v>25505434.919999998</v>
      </c>
      <c r="T12" s="18">
        <f>'Formato 6 c)'!F19</f>
        <v>25181610.93</v>
      </c>
      <c r="U12" s="18">
        <f>'Formato 6 c)'!G19</f>
        <v>14623245.080000002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428416</v>
      </c>
      <c r="R17" s="18">
        <f>'Formato 6 c)'!D24</f>
        <v>428416</v>
      </c>
      <c r="S17" s="18">
        <f>'Formato 6 c)'!E24</f>
        <v>339243.7</v>
      </c>
      <c r="T17" s="18">
        <f>'Formato 6 c)'!F24</f>
        <v>339243.7</v>
      </c>
      <c r="U17" s="18">
        <f>'Formato 6 c)'!G24</f>
        <v>89172.299999999988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37825264</v>
      </c>
      <c r="Q19" s="18">
        <f>'Formato 6 c)'!C26</f>
        <v>1875000</v>
      </c>
      <c r="R19" s="18">
        <f>'Formato 6 c)'!D26</f>
        <v>39700264</v>
      </c>
      <c r="S19" s="18">
        <f>'Formato 6 c)'!E26</f>
        <v>25166191.219999999</v>
      </c>
      <c r="T19" s="18">
        <f>'Formato 6 c)'!F26</f>
        <v>24842367.23</v>
      </c>
      <c r="U19" s="18">
        <f>'Formato 6 c)'!G26</f>
        <v>14534072.780000001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37825264</v>
      </c>
      <c r="Q68" s="18">
        <f>'Formato 6 c)'!C77</f>
        <v>2303416</v>
      </c>
      <c r="R68" s="18">
        <f>'Formato 6 c)'!D77</f>
        <v>40128680</v>
      </c>
      <c r="S68" s="18">
        <f>'Formato 6 c)'!E77</f>
        <v>25505434.919999998</v>
      </c>
      <c r="T68" s="18">
        <f>'Formato 6 c)'!F77</f>
        <v>25181610.93</v>
      </c>
      <c r="U68" s="18">
        <f>'Formato 6 c)'!G77</f>
        <v>14623245.080000002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 t="shared" ref="B9:G9" si="0">SUM(B10,B11,B12,B15,B16,B19)</f>
        <v>28905068.518383287</v>
      </c>
      <c r="C9" s="66">
        <f t="shared" si="0"/>
        <v>-3131767.0300000003</v>
      </c>
      <c r="D9" s="66">
        <f t="shared" si="0"/>
        <v>25773301.488383286</v>
      </c>
      <c r="E9" s="66">
        <f t="shared" si="0"/>
        <v>15455301.539999999</v>
      </c>
      <c r="F9" s="66">
        <f t="shared" si="0"/>
        <v>15455301.539999999</v>
      </c>
      <c r="G9" s="66">
        <f t="shared" si="0"/>
        <v>10317999.948383287</v>
      </c>
    </row>
    <row r="10" spans="1:7" x14ac:dyDescent="0.25">
      <c r="A10" s="53" t="s">
        <v>401</v>
      </c>
      <c r="B10" s="67">
        <v>28905068.518383287</v>
      </c>
      <c r="C10" s="67">
        <v>-3131767.0300000003</v>
      </c>
      <c r="D10" s="67">
        <v>25773301.488383286</v>
      </c>
      <c r="E10" s="67">
        <v>15455301.539999999</v>
      </c>
      <c r="F10" s="67">
        <v>15455301.539999999</v>
      </c>
      <c r="G10" s="67">
        <f>D10-E10</f>
        <v>10317999.948383287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28905068.518383287</v>
      </c>
      <c r="C33" s="66">
        <f t="shared" ref="C33:G33" si="9">C21+C9</f>
        <v>-3131767.0300000003</v>
      </c>
      <c r="D33" s="66">
        <f t="shared" si="9"/>
        <v>25773301.488383286</v>
      </c>
      <c r="E33" s="66">
        <f t="shared" si="9"/>
        <v>15455301.539999999</v>
      </c>
      <c r="F33" s="66">
        <f t="shared" si="9"/>
        <v>15455301.539999999</v>
      </c>
      <c r="G33" s="66">
        <f t="shared" si="9"/>
        <v>10317999.948383287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28905068.518383287</v>
      </c>
      <c r="Q2" s="18">
        <f>'Formato 6 d)'!C9</f>
        <v>-3131767.0300000003</v>
      </c>
      <c r="R2" s="18">
        <f>'Formato 6 d)'!D9</f>
        <v>25773301.488383286</v>
      </c>
      <c r="S2" s="18">
        <f>'Formato 6 d)'!E9</f>
        <v>15455301.539999999</v>
      </c>
      <c r="T2" s="18">
        <f>'Formato 6 d)'!F9</f>
        <v>15455301.539999999</v>
      </c>
      <c r="U2" s="18">
        <f>'Formato 6 d)'!G9</f>
        <v>10317999.948383287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28905068.518383287</v>
      </c>
      <c r="Q3" s="18">
        <f>'Formato 6 d)'!C10</f>
        <v>-3131767.0300000003</v>
      </c>
      <c r="R3" s="18">
        <f>'Formato 6 d)'!D10</f>
        <v>25773301.488383286</v>
      </c>
      <c r="S3" s="18">
        <f>'Formato 6 d)'!E10</f>
        <v>15455301.539999999</v>
      </c>
      <c r="T3" s="18">
        <f>'Formato 6 d)'!F10</f>
        <v>15455301.539999999</v>
      </c>
      <c r="U3" s="18">
        <f>'Formato 6 d)'!G10</f>
        <v>10317999.948383287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28905068.518383287</v>
      </c>
      <c r="Q24" s="18">
        <f>'Formato 6 d)'!C33</f>
        <v>-3131767.0300000003</v>
      </c>
      <c r="R24" s="18">
        <f>'Formato 6 d)'!D33</f>
        <v>25773301.488383286</v>
      </c>
      <c r="S24" s="18">
        <f>'Formato 6 d)'!E33</f>
        <v>15455301.539999999</v>
      </c>
      <c r="T24" s="18">
        <f>'Formato 6 d)'!F33</f>
        <v>15455301.539999999</v>
      </c>
      <c r="U24" s="18">
        <f>'Formato 6 d)'!G33</f>
        <v>10317999.948383287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XFD1" sqref="XFD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XFD1" sqref="XFD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27170765.4531</v>
      </c>
      <c r="G7" s="59">
        <f t="shared" si="0"/>
        <v>40103679.999999985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>
        <v>27170765.4531</v>
      </c>
      <c r="G17" s="60">
        <v>40103679.999999985</v>
      </c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27170765.4531</v>
      </c>
      <c r="G31" s="61">
        <f t="shared" si="3"/>
        <v>40103679.999999985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27170765.4531</v>
      </c>
      <c r="U2" s="18">
        <f>'Formato 7 c)'!G7</f>
        <v>40103679.999999985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27170765.4531</v>
      </c>
      <c r="U12" s="18">
        <f>'Formato 7 c)'!G17</f>
        <v>40103679.999999985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27170765.4531</v>
      </c>
      <c r="U23" s="18">
        <f>'Formato 7 c)'!G31</f>
        <v>40103679.999999985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7" sqref="G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27170765.4531</v>
      </c>
      <c r="G7" s="59">
        <f t="shared" si="0"/>
        <v>40128679.999999985</v>
      </c>
    </row>
    <row r="8" spans="1:7" x14ac:dyDescent="0.25">
      <c r="A8" s="53" t="s">
        <v>454</v>
      </c>
      <c r="B8" s="60"/>
      <c r="C8" s="60"/>
      <c r="D8" s="60"/>
      <c r="E8" s="60"/>
      <c r="F8" s="60">
        <v>20849378.2031</v>
      </c>
      <c r="G8" s="60">
        <v>25773301.488383286</v>
      </c>
    </row>
    <row r="9" spans="1:7" x14ac:dyDescent="0.25">
      <c r="A9" s="53" t="s">
        <v>455</v>
      </c>
      <c r="B9" s="60"/>
      <c r="C9" s="60"/>
      <c r="D9" s="60"/>
      <c r="E9" s="60"/>
      <c r="F9" s="60">
        <v>910025</v>
      </c>
      <c r="G9" s="60">
        <v>1685304.27</v>
      </c>
    </row>
    <row r="10" spans="1:7" x14ac:dyDescent="0.25">
      <c r="A10" s="53" t="s">
        <v>456</v>
      </c>
      <c r="B10" s="60"/>
      <c r="C10" s="60"/>
      <c r="D10" s="60"/>
      <c r="E10" s="60"/>
      <c r="F10" s="60">
        <v>5250162.25</v>
      </c>
      <c r="G10" s="60">
        <v>8220858.5716166953</v>
      </c>
    </row>
    <row r="11" spans="1:7" x14ac:dyDescent="0.25">
      <c r="A11" s="53" t="s">
        <v>457</v>
      </c>
      <c r="B11" s="60"/>
      <c r="C11" s="60"/>
      <c r="D11" s="60"/>
      <c r="E11" s="60"/>
      <c r="F11" s="60">
        <v>158000</v>
      </c>
      <c r="G11" s="60">
        <v>378416</v>
      </c>
    </row>
    <row r="12" spans="1:7" x14ac:dyDescent="0.25">
      <c r="A12" s="53" t="s">
        <v>458</v>
      </c>
      <c r="B12" s="60"/>
      <c r="C12" s="60"/>
      <c r="D12" s="60"/>
      <c r="E12" s="60"/>
      <c r="F12" s="60">
        <v>3200</v>
      </c>
      <c r="G12" s="60">
        <v>4070799.67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27170765.4531</v>
      </c>
      <c r="G29" s="60">
        <f t="shared" si="2"/>
        <v>40128679.999999985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27170765.4531</v>
      </c>
      <c r="U2" s="18">
        <f>'Formato 7 d)'!G7</f>
        <v>40128679.999999985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20849378.2031</v>
      </c>
      <c r="U3" s="18">
        <f>'Formato 7 d)'!G8</f>
        <v>25773301.488383286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910025</v>
      </c>
      <c r="U4" s="18">
        <f>'Formato 7 d)'!G9</f>
        <v>1685304.27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5250162.25</v>
      </c>
      <c r="U5" s="18">
        <f>'Formato 7 d)'!G10</f>
        <v>8220858.5716166953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158000</v>
      </c>
      <c r="U6" s="18">
        <f>'Formato 7 d)'!G11</f>
        <v>378416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3200</v>
      </c>
      <c r="U7" s="18">
        <f>'Formato 7 d)'!G12</f>
        <v>4070799.67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27170765.4531</v>
      </c>
      <c r="U22" s="18">
        <f>'Formato 7 d)'!G29</f>
        <v>40128679.999999985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topLeftCell="A4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2" zoomScale="90" zoomScaleNormal="90" workbookViewId="0">
      <selection activeCell="F81" sqref="F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septiembre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6907943.9100000001</v>
      </c>
      <c r="C9" s="60">
        <f>SUM(C10:C16)</f>
        <v>3802404.92</v>
      </c>
      <c r="D9" s="100" t="s">
        <v>54</v>
      </c>
      <c r="E9" s="60">
        <f>SUM(E10:E18)</f>
        <v>570819.81000000006</v>
      </c>
      <c r="F9" s="60">
        <f>SUM(F10:F18)</f>
        <v>2105677.84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-0.47</v>
      </c>
      <c r="F10" s="60">
        <v>675588.02</v>
      </c>
    </row>
    <row r="11" spans="1:6" x14ac:dyDescent="0.25">
      <c r="A11" s="96" t="s">
        <v>5</v>
      </c>
      <c r="B11" s="60">
        <v>6907943.9100000001</v>
      </c>
      <c r="C11" s="60">
        <v>3802404.92</v>
      </c>
      <c r="D11" s="101" t="s">
        <v>56</v>
      </c>
      <c r="E11" s="60">
        <v>315244.53000000003</v>
      </c>
      <c r="F11" s="60">
        <v>131021.81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255575.75</v>
      </c>
      <c r="F16" s="60">
        <v>1299068.01</v>
      </c>
    </row>
    <row r="17" spans="1:6" x14ac:dyDescent="0.25">
      <c r="A17" s="95" t="s">
        <v>11</v>
      </c>
      <c r="B17" s="60">
        <f>SUM(B18:B24)</f>
        <v>3318134.01</v>
      </c>
      <c r="C17" s="60">
        <f>SUM(C18:C24)</f>
        <v>130311.05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3152105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166029.01</v>
      </c>
      <c r="C20" s="60">
        <v>130311.05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10226077.92</v>
      </c>
      <c r="C47" s="61">
        <f>C9+C17+C25+C31+C38+C41</f>
        <v>3932715.9699999997</v>
      </c>
      <c r="D47" s="99" t="s">
        <v>91</v>
      </c>
      <c r="E47" s="61">
        <f>E9+E19+E23+E26+E27+E31+E38+E42</f>
        <v>570819.81000000006</v>
      </c>
      <c r="F47" s="61">
        <f>F9+F19+F23+F26+F27+F31+F38+F42</f>
        <v>2105677.84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4163400.75</v>
      </c>
      <c r="C53" s="60">
        <v>353814.64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-391029.75</v>
      </c>
      <c r="C55" s="60">
        <v>-110448.11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570819.81000000006</v>
      </c>
      <c r="F59" s="61">
        <f>F47+F57</f>
        <v>2105677.84</v>
      </c>
    </row>
    <row r="60" spans="1:6" x14ac:dyDescent="0.25">
      <c r="A60" s="55" t="s">
        <v>50</v>
      </c>
      <c r="B60" s="61">
        <f>SUM(B50:B58)</f>
        <v>3772371</v>
      </c>
      <c r="C60" s="61">
        <f>SUM(C50:C58)</f>
        <v>243366.53000000003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13998448.92</v>
      </c>
      <c r="C62" s="61">
        <f>SUM(C47+C60)</f>
        <v>4176082.5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13427629.110000001</v>
      </c>
      <c r="F68" s="77">
        <f>SUM(F69:F73)</f>
        <v>2070404.66</v>
      </c>
    </row>
    <row r="69" spans="1:6" x14ac:dyDescent="0.25">
      <c r="A69" s="12"/>
      <c r="B69" s="54"/>
      <c r="C69" s="54"/>
      <c r="D69" s="103" t="s">
        <v>107</v>
      </c>
      <c r="E69" s="77">
        <v>11871495.050000001</v>
      </c>
      <c r="F69" s="77">
        <v>512142.76</v>
      </c>
    </row>
    <row r="70" spans="1:6" x14ac:dyDescent="0.25">
      <c r="A70" s="12"/>
      <c r="B70" s="54"/>
      <c r="C70" s="54"/>
      <c r="D70" s="103" t="s">
        <v>108</v>
      </c>
      <c r="E70" s="77">
        <v>1556134.0599999998</v>
      </c>
      <c r="F70" s="77">
        <v>1558261.9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13427629.110000001</v>
      </c>
      <c r="F79" s="61">
        <f>F63+F68+F75</f>
        <v>2070404.66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13998448.920000002</v>
      </c>
      <c r="F81" s="61">
        <f>F59+F79</f>
        <v>4176082.5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6907943.9100000001</v>
      </c>
      <c r="Q4" s="18">
        <f>'Formato 1'!C9</f>
        <v>3802404.92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6907943.9100000001</v>
      </c>
      <c r="Q6" s="18">
        <f>'Formato 1'!C11</f>
        <v>3802404.92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3318134.01</v>
      </c>
      <c r="Q12" s="18">
        <f>'Formato 1'!C17</f>
        <v>130311.05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3152105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166029.01</v>
      </c>
      <c r="Q15" s="18">
        <f>'Formato 1'!C20</f>
        <v>130311.05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10226077.92</v>
      </c>
      <c r="Q42" s="18">
        <f>'Formato 1'!C47</f>
        <v>3932715.9699999997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4163400.75</v>
      </c>
      <c r="Q47">
        <f>'Formato 1'!C53</f>
        <v>353814.64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-391029.75</v>
      </c>
      <c r="Q49">
        <f>'Formato 1'!C55</f>
        <v>-110448.11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3772371</v>
      </c>
      <c r="Q53">
        <f>'Formato 1'!C60</f>
        <v>243366.53000000003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13998448.92</v>
      </c>
      <c r="Q54">
        <f>'Formato 1'!C62</f>
        <v>4176082.5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570819.81000000006</v>
      </c>
      <c r="Q57">
        <f>'Formato 1'!F9</f>
        <v>2105677.84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-0.47</v>
      </c>
      <c r="Q58">
        <f>'Formato 1'!F10</f>
        <v>675588.02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315244.53000000003</v>
      </c>
      <c r="Q59">
        <f>'Formato 1'!F11</f>
        <v>131021.81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255575.75</v>
      </c>
      <c r="Q64">
        <f>'Formato 1'!F16</f>
        <v>1299068.01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570819.81000000006</v>
      </c>
      <c r="Q95">
        <f>'Formato 1'!F47</f>
        <v>2105677.84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570819.81000000006</v>
      </c>
      <c r="Q104">
        <f>'Formato 1'!F59</f>
        <v>2105677.84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13427629.110000001</v>
      </c>
      <c r="Q110">
        <f>'Formato 1'!F68</f>
        <v>2070404.66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11871495.050000001</v>
      </c>
      <c r="Q111">
        <f>'Formato 1'!F69</f>
        <v>512142.76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1556134.0599999998</v>
      </c>
      <c r="Q112">
        <f>'Formato 1'!F70</f>
        <v>1558261.9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13427629.110000001</v>
      </c>
      <c r="Q119">
        <f>'Formato 1'!F79</f>
        <v>2070404.66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13998448.920000002</v>
      </c>
      <c r="Q120">
        <f>'Formato 1'!F81</f>
        <v>4176082.5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7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septiembre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2105677.84</v>
      </c>
      <c r="C18" s="132"/>
      <c r="D18" s="132"/>
      <c r="E18" s="132"/>
      <c r="F18" s="61">
        <v>570819.81000000006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2105677.84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570819.81000000006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2105677.84</v>
      </c>
      <c r="Q12" s="18"/>
      <c r="R12" s="18"/>
      <c r="S12" s="18"/>
      <c r="T12" s="18">
        <f>'Formato 2'!F18</f>
        <v>570819.81000000006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2105677.84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570819.81000000006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2019 (k)</v>
      </c>
      <c r="J6" s="131" t="str">
        <f>MONTO2</f>
        <v>Monto pagado de la inversión actualizado al 30 de septiembre de 2019 (l)</v>
      </c>
      <c r="K6" s="131" t="str">
        <f>SALDO_PENDIENTE</f>
        <v>Saldo pendiente por pagar de la inversión al 30 de septiembre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Leon Joven</cp:lastModifiedBy>
  <cp:lastPrinted>2017-02-04T00:56:20Z</cp:lastPrinted>
  <dcterms:created xsi:type="dcterms:W3CDTF">2017-01-19T17:59:06Z</dcterms:created>
  <dcterms:modified xsi:type="dcterms:W3CDTF">2019-10-17T20:46:03Z</dcterms:modified>
</cp:coreProperties>
</file>