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2365F635-4125-455E-90DF-EFD671006398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245" firstSheet="19" activeTab="2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G7" i="13" l="1"/>
  <c r="F7" i="13"/>
  <c r="E7" i="13"/>
  <c r="D7" i="13"/>
  <c r="C7" i="13"/>
  <c r="D7" i="12"/>
  <c r="B5" i="12"/>
  <c r="G10" i="9"/>
  <c r="G9" i="9"/>
  <c r="F9" i="7"/>
  <c r="E9" i="7"/>
  <c r="E29" i="7" s="1"/>
  <c r="S4" i="25" s="1"/>
  <c r="D9" i="7"/>
  <c r="C9" i="7"/>
  <c r="C29" i="7" s="1"/>
  <c r="Q4" i="25" s="1"/>
  <c r="B9" i="7"/>
  <c r="B9" i="6"/>
  <c r="B10" i="6"/>
  <c r="C10" i="6"/>
  <c r="D10" i="6"/>
  <c r="E10" i="6"/>
  <c r="F10" i="6"/>
  <c r="G14" i="6"/>
  <c r="G13" i="6"/>
  <c r="G12" i="6"/>
  <c r="G11" i="6"/>
  <c r="G15" i="6"/>
  <c r="G16" i="6"/>
  <c r="G17" i="6"/>
  <c r="G10" i="6"/>
  <c r="G41" i="5"/>
  <c r="F41" i="5"/>
  <c r="E41" i="5"/>
  <c r="D41" i="5"/>
  <c r="C41" i="5"/>
  <c r="B41" i="5"/>
  <c r="C37" i="5"/>
  <c r="C59" i="4"/>
  <c r="D59" i="4"/>
  <c r="D57" i="4"/>
  <c r="C57" i="4"/>
  <c r="B53" i="4"/>
  <c r="C53" i="4"/>
  <c r="D53" i="4"/>
  <c r="D48" i="4"/>
  <c r="B48" i="4"/>
  <c r="C48" i="4"/>
  <c r="D25" i="4"/>
  <c r="C25" i="4"/>
  <c r="C23" i="4"/>
  <c r="D23" i="4"/>
  <c r="D21" i="4"/>
  <c r="C21" i="4"/>
  <c r="B21" i="4"/>
  <c r="D8" i="4"/>
  <c r="B8" i="4"/>
  <c r="C8" i="4"/>
  <c r="E9" i="1"/>
  <c r="C12" i="9"/>
  <c r="B12" i="9"/>
  <c r="B16" i="9"/>
  <c r="B9" i="9"/>
  <c r="B37" i="8"/>
  <c r="B75" i="5"/>
  <c r="B67" i="5"/>
  <c r="B65" i="5"/>
  <c r="B59" i="5"/>
  <c r="E23" i="1"/>
  <c r="C9" i="1"/>
  <c r="B9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B7" i="13"/>
  <c r="G18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6" i="5"/>
  <c r="G35" i="5"/>
  <c r="G38" i="5"/>
  <c r="G37" i="5"/>
  <c r="G42" i="5"/>
  <c r="F20" i="23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29" i="13"/>
  <c r="Q22" i="31"/>
  <c r="D29" i="13"/>
  <c r="R22" i="31"/>
  <c r="E29" i="13"/>
  <c r="S22" i="31"/>
  <c r="F29" i="13"/>
  <c r="T22" i="31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 s="1"/>
  <c r="U4" i="25" s="1"/>
  <c r="F19" i="7"/>
  <c r="F29" i="7" s="1"/>
  <c r="T4" i="25" s="1"/>
  <c r="E19" i="7"/>
  <c r="S3" i="25"/>
  <c r="D19" i="7"/>
  <c r="R3" i="25" s="1"/>
  <c r="D29" i="7"/>
  <c r="R4" i="25" s="1"/>
  <c r="C19" i="7"/>
  <c r="B19" i="7"/>
  <c r="P3" i="25" s="1"/>
  <c r="Q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58" i="6"/>
  <c r="C71" i="6"/>
  <c r="C75" i="6"/>
  <c r="C9" i="6"/>
  <c r="C159" i="6"/>
  <c r="Q150" i="24"/>
  <c r="D18" i="6"/>
  <c r="D28" i="6"/>
  <c r="D38" i="6"/>
  <c r="D48" i="6"/>
  <c r="D58" i="6"/>
  <c r="D71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45" i="5"/>
  <c r="B54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I20" i="3" s="1"/>
  <c r="W5" i="17" s="1"/>
  <c r="H14" i="3"/>
  <c r="V4" i="17" s="1"/>
  <c r="G14" i="3"/>
  <c r="E14" i="3"/>
  <c r="K8" i="3"/>
  <c r="Y3" i="17" s="1"/>
  <c r="K20" i="3"/>
  <c r="Y5" i="17" s="1"/>
  <c r="J8" i="3"/>
  <c r="X3" i="17" s="1"/>
  <c r="H8" i="3"/>
  <c r="V3" i="17" s="1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/>
  <c r="B41" i="2"/>
  <c r="B27" i="2"/>
  <c r="P15" i="16" s="1"/>
  <c r="H22" i="2"/>
  <c r="G22" i="2"/>
  <c r="U14" i="16"/>
  <c r="F22" i="2"/>
  <c r="E22" i="2"/>
  <c r="D22" i="2"/>
  <c r="C22" i="2"/>
  <c r="B22" i="2"/>
  <c r="P14" i="16" s="1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49" i="4"/>
  <c r="B37" i="4"/>
  <c r="B44" i="4"/>
  <c r="B29" i="4"/>
  <c r="B17" i="4"/>
  <c r="B13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55" i="4"/>
  <c r="D55" i="4"/>
  <c r="C49" i="4"/>
  <c r="D49" i="4"/>
  <c r="C29" i="4"/>
  <c r="D29" i="4"/>
  <c r="C40" i="4"/>
  <c r="D40" i="4"/>
  <c r="C37" i="4"/>
  <c r="D37" i="4"/>
  <c r="C17" i="4"/>
  <c r="C13" i="4"/>
  <c r="D13" i="4"/>
  <c r="U4" i="17"/>
  <c r="W3" i="17"/>
  <c r="S4" i="17"/>
  <c r="T17" i="16"/>
  <c r="P17" i="16"/>
  <c r="V15" i="16"/>
  <c r="Q14" i="16"/>
  <c r="R14" i="16"/>
  <c r="V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G8" i="2"/>
  <c r="U8" i="16"/>
  <c r="S14" i="16"/>
  <c r="T14" i="16"/>
  <c r="D44" i="4"/>
  <c r="B8" i="2"/>
  <c r="E8" i="2"/>
  <c r="D8" i="2"/>
  <c r="D20" i="2"/>
  <c r="R13" i="16"/>
  <c r="C44" i="4"/>
  <c r="C72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R5" i="18"/>
  <c r="R39" i="18"/>
  <c r="P13" i="18"/>
  <c r="R2" i="18"/>
  <c r="Q2" i="18"/>
  <c r="P18" i="18"/>
  <c r="P14" i="18"/>
  <c r="Q12" i="18"/>
  <c r="R12" i="18"/>
  <c r="R13" i="18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U3" i="17"/>
  <c r="P2" i="25"/>
  <c r="T2" i="25"/>
  <c r="U2" i="25"/>
  <c r="Q2" i="25" l="1"/>
  <c r="T3" i="25"/>
  <c r="H20" i="3"/>
  <c r="V5" i="17" s="1"/>
  <c r="U3" i="25"/>
  <c r="B29" i="7"/>
  <c r="P4" i="25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<sst xmlns="http://schemas.openxmlformats.org/spreadsheetml/2006/main" count="4243" uniqueCount="3306">
  <si>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</si>
  <si>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</si>
  <si>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</si>
  <si>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</si>
  <si>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</si>
  <si>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</si>
  <si>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</si>
  <si>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</si>
  <si>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</si>
  <si>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</si>
  <si>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</si>
  <si>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</si>
  <si>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</si>
  <si>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</si>
  <si>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</si>
  <si>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</si>
  <si>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</si>
  <si>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</si>
  <si>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</si>
  <si>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</si>
  <si>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</si>
  <si>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</si>
  <si>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</si>
  <si>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</si>
  <si>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</si>
  <si>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</si>
  <si>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</si>
  <si>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</si>
  <si>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</si>
  <si>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</si>
  <si>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</si>
  <si>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</si>
  <si>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</si>
  <si>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</si>
  <si>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</si>
  <si>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</si>
  <si>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</si>
  <si>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</si>
  <si>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</si>
  <si>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</si>
  <si>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</si>
  <si>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</si>
  <si>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</si>
  <si>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</si>
  <si>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</si>
  <si>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</si>
  <si>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</si>
  <si>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</si>
  <si>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</si>
  <si>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</si>
  <si>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</si>
  <si>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</si>
  <si>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</si>
  <si>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</si>
  <si>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</si>
  <si>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</si>
  <si>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</si>
  <si>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</si>
  <si>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</si>
  <si>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</si>
  <si>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</si>
  <si>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</si>
  <si>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</si>
  <si>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</si>
  <si>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</si>
  <si>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</si>
  <si>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</si>
  <si>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</si>
  <si>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</si>
  <si>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</si>
  <si>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</si>
  <si>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</si>
  <si>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</si>
  <si>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</si>
  <si>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</si>
  <si>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</si>
  <si>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</si>
  <si>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</si>
  <si>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</si>
  <si>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</si>
  <si>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</si>
  <si>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</si>
  <si>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</si>
  <si>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</si>
  <si>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</si>
  <si>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</si>
  <si>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</si>
  <si>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</si>
  <si>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</si>
  <si>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</si>
  <si>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</si>
  <si>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</si>
  <si>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</si>
  <si>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</si>
  <si>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</si>
  <si>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</si>
  <si>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</si>
  <si>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</si>
  <si>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</si>
  <si>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</si>
  <si>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</si>
  <si>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</si>
  <si>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</si>
  <si>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</si>
  <si>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</si>
  <si>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</si>
  <si>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</si>
  <si>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</si>
  <si>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</si>
  <si>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</si>
  <si>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</si>
  <si>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</si>
  <si>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</si>
  <si>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</si>
  <si>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</si>
  <si>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</si>
  <si>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</si>
  <si>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</si>
  <si>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</si>
  <si>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</si>
  <si>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</si>
  <si>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</si>
  <si>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</si>
  <si>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</si>
  <si>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</si>
  <si>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</si>
  <si>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</si>
  <si>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</si>
  <si>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</si>
  <si>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</si>
  <si>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</si>
  <si>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</si>
  <si>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</si>
  <si>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</si>
  <si>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</si>
  <si>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</si>
  <si>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</si>
  <si>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</si>
  <si>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</si>
  <si>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</si>
  <si>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</si>
  <si>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</si>
  <si>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</si>
  <si>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</si>
  <si>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</si>
  <si>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</si>
  <si>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</si>
  <si>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</si>
  <si>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</si>
  <si>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</si>
  <si>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</si>
  <si>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</si>
  <si>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</si>
  <si>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</si>
  <si>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</si>
  <si>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</si>
  <si>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</si>
  <si>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</si>
  <si>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</si>
  <si>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</si>
  <si>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</si>
  <si>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</si>
  <si>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</si>
  <si>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</si>
  <si>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</si>
  <si>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</si>
  <si>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</si>
  <si>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</si>
  <si>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</si>
  <si>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</si>
  <si>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</si>
  <si>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</si>
  <si>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</si>
  <si>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</si>
  <si>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</si>
  <si>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</si>
  <si>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</si>
  <si>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</si>
  <si>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</si>
  <si>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</si>
  <si>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</si>
  <si>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</si>
  <si>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</si>
  <si>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</si>
  <si>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</si>
  <si>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</si>
  <si>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</si>
  <si>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</si>
  <si>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</si>
  <si>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</si>
  <si>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</si>
  <si>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</si>
  <si>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</si>
  <si>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</si>
  <si>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</si>
  <si>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</si>
  <si>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</si>
  <si>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</si>
  <si>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</si>
  <si>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</si>
  <si>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</si>
  <si>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</si>
  <si>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</si>
  <si>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</si>
  <si>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</si>
  <si>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</si>
  <si>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</si>
  <si>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</si>
  <si>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</si>
  <si>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</si>
  <si>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</si>
  <si>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</si>
  <si>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</si>
  <si>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</si>
  <si>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</si>
  <si>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</si>
  <si>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</si>
  <si>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</si>
  <si>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</si>
  <si>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</si>
  <si>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</si>
  <si>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</si>
  <si>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</si>
  <si>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</si>
  <si>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</si>
  <si>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</si>
  <si>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</si>
  <si>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</si>
  <si>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</si>
  <si>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</si>
  <si>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</si>
  <si>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</si>
  <si>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</si>
  <si>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</si>
  <si>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</si>
  <si>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</si>
  <si>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</si>
  <si>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</si>
  <si>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</si>
  <si>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</si>
  <si>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</si>
  <si>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</si>
  <si>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</si>
  <si>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</si>
  <si>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</si>
  <si>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</si>
  <si>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</si>
  <si>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</si>
  <si>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</si>
  <si>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</si>
  <si>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</si>
  <si>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</si>
  <si>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</si>
  <si>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</si>
  <si>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</si>
  <si>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</si>
  <si>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</si>
  <si>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</si>
  <si>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</si>
  <si>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</si>
  <si>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</si>
  <si>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</si>
  <si>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</si>
  <si>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</si>
  <si>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</si>
  <si>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</si>
  <si>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</si>
  <si>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</si>
  <si>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</si>
  <si>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</si>
  <si>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</si>
  <si>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</si>
  <si>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</si>
  <si>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</si>
  <si>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</si>
  <si>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</si>
  <si>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</si>
  <si>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</si>
  <si>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</si>
  <si>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</si>
  <si>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</si>
  <si>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</si>
  <si>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</si>
  <si>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</si>
  <si>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</si>
  <si>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</si>
  <si>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</si>
  <si>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</si>
  <si>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</si>
  <si>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</si>
  <si>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</si>
  <si>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</si>
  <si>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</si>
  <si>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</si>
  <si>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</si>
  <si>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</si>
  <si>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</si>
  <si>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</si>
  <si>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</si>
  <si>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</si>
  <si>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</si>
  <si>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</si>
  <si>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</si>
  <si>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</si>
  <si>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</si>
  <si>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</si>
  <si>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</si>
  <si>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</si>
  <si>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</si>
  <si>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</si>
  <si>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</si>
  <si>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</si>
  <si>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</si>
  <si>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</si>
  <si>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</si>
  <si>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</si>
  <si>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</si>
  <si>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</si>
  <si>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</si>
  <si>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</si>
  <si>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</si>
  <si>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</si>
  <si>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</si>
  <si>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</si>
  <si>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</si>
  <si>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</si>
  <si>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</si>
  <si>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</si>
  <si>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</si>
  <si>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</si>
  <si>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</si>
  <si>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</si>
  <si>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</si>
  <si>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</si>
  <si>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</si>
  <si>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</si>
  <si>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</si>
  <si>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</si>
  <si>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</si>
  <si>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</si>
  <si>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</si>
  <si>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</si>
  <si>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</si>
  <si>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</si>
  <si>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</si>
  <si>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</si>
  <si>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</si>
  <si>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</si>
  <si>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</si>
  <si>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</si>
  <si>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</si>
  <si>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</si>
  <si>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</si>
  <si>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</si>
  <si>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</si>
  <si>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</si>
  <si>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</si>
  <si>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</si>
  <si>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</si>
  <si>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</si>
  <si>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</si>
  <si>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</si>
  <si>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</si>
  <si>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</si>
  <si>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</si>
  <si>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</si>
  <si>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</si>
  <si>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</si>
  <si>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</si>
  <si>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</si>
  <si>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</si>
  <si>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</si>
  <si>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</si>
  <si>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</si>
  <si>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</si>
  <si>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</si>
  <si>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</si>
  <si>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</si>
  <si>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</si>
  <si>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</si>
  <si>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</si>
  <si>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</si>
  <si>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</si>
  <si>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</si>
  <si>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</si>
  <si>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</si>
  <si>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</si>
  <si>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</si>
  <si>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</si>
  <si>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</si>
  <si>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</si>
  <si>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</si>
  <si>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</si>
  <si>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</si>
  <si>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</si>
  <si>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</si>
  <si>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</si>
  <si>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</si>
  <si>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</si>
  <si>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</si>
  <si>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</si>
  <si>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</si>
  <si>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</si>
  <si>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</si>
  <si>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</si>
  <si>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</si>
  <si>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</si>
  <si>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</si>
  <si>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</si>
  <si>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</si>
  <si>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</si>
  <si>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</si>
  <si>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</si>
  <si>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</si>
  <si>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</si>
  <si>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</si>
  <si>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</si>
  <si>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</si>
  <si>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</si>
  <si>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</si>
  <si>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</si>
  <si>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</si>
  <si>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</si>
  <si>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</si>
  <si>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</si>
  <si>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</si>
  <si>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</si>
  <si>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</si>
  <si>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</si>
  <si>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</si>
  <si>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</si>
  <si>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</si>
  <si>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</si>
  <si>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</si>
  <si>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</si>
  <si>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</si>
  <si>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</si>
  <si>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</si>
  <si>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</si>
  <si>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</si>
  <si>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</si>
  <si>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</si>
  <si>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</si>
  <si>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</si>
  <si>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</si>
  <si>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</si>
  <si>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</si>
  <si>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</si>
  <si>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</si>
  <si>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</si>
  <si>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</si>
  <si>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</si>
  <si>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</si>
  <si>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</si>
  <si>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</si>
  <si>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</si>
  <si>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</si>
  <si>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</si>
  <si>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</si>
  <si>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</si>
  <si>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</si>
  <si>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</si>
  <si>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</si>
  <si>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</si>
  <si>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</si>
  <si>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</si>
  <si>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</si>
  <si>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</si>
  <si>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</si>
  <si>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</si>
  <si>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</si>
  <si>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</si>
  <si>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</si>
  <si>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</si>
  <si>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</si>
  <si>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</si>
  <si>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</si>
  <si>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</si>
  <si>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</si>
  <si>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</si>
  <si>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</si>
  <si>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</si>
  <si>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</si>
  <si>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</si>
  <si>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</si>
  <si>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</si>
  <si>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</si>
  <si>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</si>
  <si>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</si>
  <si>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</si>
  <si>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</si>
  <si>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</si>
  <si>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</si>
  <si>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</si>
  <si>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</si>
  <si>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</si>
  <si>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</si>
  <si>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</si>
  <si>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</si>
  <si>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</si>
  <si>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</si>
  <si>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</si>
  <si>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</si>
  <si>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</si>
  <si>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</si>
  <si>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</si>
  <si>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</si>
  <si>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</si>
  <si>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</si>
  <si>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</si>
  <si>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</si>
  <si>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</si>
  <si>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</si>
  <si>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</si>
  <si>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</si>
  <si>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</si>
  <si>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</si>
  <si>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</si>
  <si>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</si>
  <si>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</si>
  <si>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</si>
  <si>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</si>
  <si>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</si>
  <si>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</si>
  <si>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</si>
  <si>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</si>
  <si>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</si>
  <si>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</si>
  <si>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</si>
  <si>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</si>
  <si>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</si>
  <si>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</si>
  <si>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</si>
  <si>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</si>
  <si>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</si>
  <si>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</si>
  <si>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</si>
  <si>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</si>
  <si>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</si>
  <si>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</si>
  <si>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</si>
  <si>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</si>
  <si>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</si>
  <si>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</si>
  <si>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</si>
  <si>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</si>
  <si>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</si>
  <si>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</si>
  <si>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</si>
  <si>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</si>
  <si>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</si>
  <si>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</si>
  <si>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</si>
  <si>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</si>
  <si>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</si>
  <si>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</si>
  <si>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</si>
  <si>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</si>
  <si>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</si>
  <si>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</si>
  <si>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</si>
  <si>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</si>
  <si>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</si>
  <si>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</si>
  <si>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</si>
  <si>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</si>
  <si>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</si>
  <si>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</si>
  <si>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</si>
  <si>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</si>
  <si>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</si>
  <si>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</si>
  <si>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</si>
  <si>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</si>
  <si>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</si>
  <si>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</si>
  <si>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</si>
  <si>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</si>
  <si>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</si>
  <si>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</si>
  <si>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</si>
  <si>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</si>
  <si>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</si>
  <si>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</si>
  <si>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</si>
  <si>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</si>
  <si>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</si>
  <si>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</si>
  <si>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</si>
  <si>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</si>
  <si>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</si>
  <si>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</si>
  <si>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</si>
  <si>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</si>
  <si>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</si>
  <si>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</si>
  <si>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</si>
  <si>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</si>
  <si>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</si>
  <si>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</si>
  <si>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</si>
  <si>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</si>
  <si>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</si>
  <si>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</si>
  <si>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</si>
  <si>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</si>
  <si>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</si>
  <si>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</si>
  <si>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</si>
  <si>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</si>
  <si>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</si>
  <si>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</si>
  <si>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</si>
  <si>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</si>
  <si>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</si>
  <si>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</si>
  <si>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</si>
  <si>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</si>
  <si>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</si>
  <si>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</si>
  <si>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</si>
  <si>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</si>
  <si>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</si>
  <si>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</si>
  <si>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</si>
  <si>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</si>
  <si>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</si>
  <si>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</si>
  <si>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</si>
  <si>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</si>
  <si>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</si>
  <si>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</si>
  <si>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</si>
  <si>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</si>
  <si>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</si>
  <si>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</si>
  <si>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</si>
  <si>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</si>
  <si>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</si>
  <si>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</si>
  <si>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</si>
  <si>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</si>
  <si>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</si>
  <si>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</si>
  <si>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</si>
  <si>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</si>
  <si>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</si>
  <si>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</si>
  <si>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</si>
  <si>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</si>
  <si>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</si>
  <si>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</si>
  <si>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</si>
  <si>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</si>
  <si>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</si>
  <si>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</si>
  <si>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</si>
  <si>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</si>
  <si>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</si>
  <si>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</si>
  <si>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</si>
  <si>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</si>
  <si>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</si>
  <si>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</si>
  <si>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</si>
  <si>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</si>
  <si>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</si>
  <si>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</si>
  <si>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</si>
  <si>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</si>
  <si>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</si>
  <si>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</si>
  <si>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</si>
  <si>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</si>
  <si>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</si>
  <si>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</si>
  <si>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</si>
  <si>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</si>
  <si>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</si>
  <si>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</si>
  <si>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</si>
  <si>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</si>
  <si>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</si>
  <si>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</si>
  <si>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</si>
  <si>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</si>
  <si>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</si>
  <si>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</si>
  <si>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</si>
  <si>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</si>
  <si>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</si>
  <si>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</si>
  <si>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</si>
  <si>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</si>
  <si>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</si>
  <si>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</si>
  <si>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</si>
  <si>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</si>
  <si>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</si>
  <si>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</si>
  <si>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</si>
  <si>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</si>
  <si>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</si>
  <si>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</si>
  <si>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</si>
  <si>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</si>
  <si>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</si>
  <si>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</si>
  <si>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</si>
  <si>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</si>
  <si>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</si>
  <si>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</si>
  <si>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</si>
  <si>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</si>
  <si>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</si>
  <si>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</si>
  <si>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</si>
  <si>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</si>
  <si>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</si>
  <si>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</si>
  <si>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</si>
  <si>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</si>
  <si>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</si>
  <si>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</si>
  <si>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</si>
  <si>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</si>
  <si>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</si>
  <si>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</si>
  <si>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</si>
  <si>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</si>
  <si>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</si>
  <si>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</si>
  <si>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</si>
  <si>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</si>
  <si>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</si>
  <si>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</si>
  <si>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</si>
  <si>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</si>
  <si>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</si>
  <si>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</si>
  <si>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</si>
  <si>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</si>
  <si>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</si>
  <si>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</si>
  <si>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</si>
  <si>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</si>
  <si>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</si>
  <si>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</si>
  <si>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</si>
  <si>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</si>
  <si>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</si>
  <si>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</si>
  <si>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</si>
  <si>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</si>
  <si>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</si>
  <si>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</si>
  <si>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</si>
  <si>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</si>
  <si>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</si>
  <si>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</si>
  <si>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</si>
  <si>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</si>
  <si>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</si>
  <si>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</si>
  <si>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</si>
  <si>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</si>
  <si>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</si>
  <si>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</si>
  <si>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</si>
  <si>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</si>
  <si>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</si>
  <si>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</si>
  <si>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</si>
  <si>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</si>
  <si>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</si>
  <si>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</si>
  <si>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</si>
  <si>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</si>
  <si>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</si>
  <si>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</si>
  <si>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</si>
  <si>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</si>
  <si>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</si>
  <si>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</si>
  <si>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</si>
  <si>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</si>
  <si>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</si>
  <si>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</si>
  <si>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</si>
  <si>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</si>
  <si>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</si>
  <si>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</si>
  <si>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</si>
  <si>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</si>
  <si>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</si>
  <si>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</si>
  <si>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</si>
  <si>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</si>
  <si>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</si>
  <si>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</si>
  <si>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</si>
  <si>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</si>
  <si>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</si>
  <si>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</si>
  <si>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</si>
  <si>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</si>
  <si>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</si>
  <si>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</si>
  <si>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</si>
  <si>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</si>
  <si>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</si>
  <si>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</si>
  <si>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</si>
  <si>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</si>
  <si>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</si>
  <si>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</si>
  <si>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</si>
  <si>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</si>
  <si>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</si>
  <si>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</si>
  <si>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</si>
  <si>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</si>
  <si>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</si>
  <si>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</si>
  <si>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</si>
  <si>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</si>
  <si>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</si>
  <si>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</si>
  <si>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</si>
  <si>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</si>
  <si>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</si>
  <si>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</si>
  <si>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</si>
  <si>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</si>
  <si>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</si>
  <si>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</si>
  <si>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</si>
  <si>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</si>
  <si>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</si>
  <si>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</si>
  <si>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</si>
  <si>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</si>
  <si>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</si>
  <si>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</si>
  <si>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</si>
  <si>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</si>
  <si>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</si>
  <si>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</si>
  <si>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</si>
  <si>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</si>
  <si>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</si>
  <si>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</si>
  <si>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</si>
  <si>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</si>
  <si>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</si>
  <si>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</si>
  <si>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</si>
  <si>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</si>
  <si>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</si>
  <si>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</si>
  <si>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</si>
  <si>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</si>
  <si>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</si>
  <si>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</si>
  <si>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</si>
  <si>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</si>
  <si>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</si>
  <si>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</si>
  <si>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</si>
  <si>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</si>
  <si>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</si>
  <si>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</si>
  <si>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</si>
  <si>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</si>
  <si>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</si>
  <si>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</si>
  <si>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</si>
  <si>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</si>
  <si>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</si>
  <si>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</si>
  <si>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</si>
  <si>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</si>
  <si>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</si>
  <si>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</si>
  <si>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</si>
  <si>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</si>
  <si>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</si>
  <si>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</si>
  <si>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</si>
  <si>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</si>
  <si>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</si>
  <si>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</si>
  <si>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</si>
  <si>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</si>
  <si>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</si>
  <si>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</si>
  <si>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</si>
  <si>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</si>
  <si>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</si>
  <si>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</si>
  <si>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</si>
  <si>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</si>
  <si>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</si>
  <si>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</si>
  <si>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</si>
  <si>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</si>
  <si>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</si>
  <si>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</si>
  <si>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</si>
  <si>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</si>
  <si>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</si>
  <si>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</si>
  <si>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</si>
  <si>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</si>
  <si>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</si>
  <si>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</si>
  <si>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</si>
  <si>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</si>
  <si>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</si>
  <si>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</si>
  <si>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</si>
  <si>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</si>
  <si>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</si>
  <si>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</si>
  <si>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</si>
  <si>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</si>
  <si>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</si>
  <si>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</si>
  <si>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</si>
  <si>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</si>
  <si>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</si>
  <si>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</si>
  <si>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</si>
  <si>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</si>
  <si>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</si>
  <si>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</si>
  <si>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</si>
  <si>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</si>
  <si>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</si>
  <si>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</si>
  <si>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</si>
  <si>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</si>
  <si>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</si>
  <si>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</si>
  <si>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</si>
  <si>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</si>
  <si>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</si>
  <si>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</si>
  <si>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</si>
  <si>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</si>
  <si>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</si>
  <si>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</si>
  <si>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</si>
  <si>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</si>
  <si>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</si>
  <si>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</si>
  <si>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</si>
  <si>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</si>
  <si>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</si>
  <si>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</si>
  <si>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</si>
  <si>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</si>
  <si>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</si>
  <si>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</si>
  <si>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</si>
  <si>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</si>
  <si>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</si>
  <si>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</si>
  <si>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</si>
  <si>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</si>
  <si>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</si>
  <si>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</si>
  <si>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</si>
  <si>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</si>
  <si>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</si>
  <si>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</si>
  <si>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</si>
  <si>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</si>
  <si>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</si>
  <si>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</si>
  <si>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</si>
  <si>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</si>
  <si>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</si>
  <si>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</si>
  <si>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</si>
  <si>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</si>
  <si>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</si>
  <si>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</si>
  <si>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</si>
  <si>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</si>
  <si>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</si>
  <si>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</si>
  <si>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</si>
  <si>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</si>
  <si>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</si>
  <si>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</si>
  <si>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</si>
  <si>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</si>
  <si>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</si>
  <si>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</si>
  <si>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</si>
  <si>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</si>
  <si>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</si>
  <si>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</si>
  <si>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</si>
  <si>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</si>
  <si>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</si>
  <si>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</si>
  <si>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</si>
  <si>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</si>
  <si>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</si>
  <si>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</si>
  <si>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</si>
  <si>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</si>
  <si>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</si>
  <si>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</si>
  <si>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</si>
  <si>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</si>
  <si>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</si>
  <si>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</si>
  <si>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</si>
  <si>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</si>
  <si>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</si>
  <si>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</si>
  <si>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</si>
  <si>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</si>
  <si>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</si>
  <si>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</si>
  <si>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</si>
  <si>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</si>
  <si>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</si>
  <si>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</si>
  <si>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</si>
  <si>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</si>
  <si>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</si>
  <si>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</si>
  <si>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</si>
  <si>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</si>
  <si>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</si>
  <si>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</si>
  <si>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</si>
  <si>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</si>
  <si>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</si>
  <si>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</si>
  <si>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</si>
  <si>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</si>
  <si>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</si>
  <si>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</si>
  <si>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</si>
  <si>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</si>
  <si>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</si>
  <si>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</si>
  <si>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</si>
  <si>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</si>
  <si>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</si>
  <si>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</si>
  <si>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</si>
  <si>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</si>
  <si>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</si>
  <si>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</si>
  <si>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</si>
  <si>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</si>
  <si>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</si>
  <si>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</si>
  <si>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</si>
  <si>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</si>
  <si>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</si>
  <si>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</si>
  <si>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</si>
  <si>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</si>
  <si>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</si>
  <si>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</si>
  <si>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</si>
  <si>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</si>
  <si>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</si>
  <si>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</si>
  <si>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</si>
  <si>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</si>
  <si>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</si>
  <si>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</si>
  <si>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</si>
  <si>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</si>
  <si>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</si>
  <si>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</si>
  <si>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</si>
  <si>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</si>
  <si>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</si>
  <si>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</si>
  <si>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</si>
  <si>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</si>
  <si>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</si>
  <si>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</si>
  <si>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</si>
  <si>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</si>
  <si>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</si>
  <si>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</si>
  <si>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</si>
  <si>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</si>
  <si>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</si>
  <si>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</si>
  <si>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</si>
  <si>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</si>
  <si>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</si>
  <si>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</si>
  <si>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</si>
  <si>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</si>
  <si>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</si>
  <si>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</si>
  <si>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</si>
  <si>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</si>
  <si>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</si>
  <si>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</si>
  <si>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</si>
  <si>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</si>
  <si>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</si>
  <si>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</si>
  <si>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</si>
  <si>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</si>
  <si>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</si>
  <si>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</si>
  <si>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</si>
  <si>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</si>
  <si>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</si>
  <si>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</si>
  <si>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</si>
  <si>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</si>
  <si>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</si>
  <si>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</si>
  <si>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</si>
  <si>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</si>
  <si>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</si>
  <si>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</si>
  <si>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</si>
  <si>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</si>
  <si>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</si>
  <si>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</si>
  <si>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</si>
  <si>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</si>
  <si>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</si>
  <si>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</si>
  <si>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</si>
  <si>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</si>
  <si>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</si>
  <si>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</si>
  <si>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</si>
  <si>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</si>
  <si>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</si>
  <si>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</si>
  <si>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</si>
  <si>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</si>
  <si>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</si>
  <si>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</si>
  <si>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</si>
  <si>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</si>
  <si>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</si>
  <si>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</si>
  <si>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</si>
  <si>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</si>
  <si>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</si>
  <si>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</si>
  <si>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</si>
  <si>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</si>
  <si>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</si>
  <si>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</si>
  <si>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</si>
  <si>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</si>
  <si>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</si>
  <si>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</si>
  <si>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</si>
  <si>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</si>
  <si>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</si>
  <si>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</si>
  <si>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</si>
  <si>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</si>
  <si>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</si>
  <si>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</si>
  <si>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</si>
  <si>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</si>
  <si>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</si>
  <si>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</si>
  <si>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</si>
  <si>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</si>
  <si>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</si>
  <si>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</si>
  <si>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</si>
  <si>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</si>
  <si>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</si>
  <si>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</si>
  <si>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</si>
  <si>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</si>
  <si>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</si>
  <si>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</si>
  <si>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</si>
  <si>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</si>
  <si>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</si>
  <si>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</si>
  <si>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</si>
  <si>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</si>
  <si>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</si>
  <si>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</si>
  <si>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</si>
  <si>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</si>
  <si>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</si>
  <si>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</si>
  <si>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</si>
  <si>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</si>
  <si>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</si>
  <si>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</si>
  <si>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</si>
  <si>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</si>
  <si>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</si>
  <si>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</si>
  <si>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</si>
  <si>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</si>
  <si>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</si>
  <si>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</si>
  <si>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</si>
  <si>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</si>
  <si>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</si>
  <si>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</si>
  <si>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</si>
  <si>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</si>
  <si>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</si>
  <si>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</si>
  <si>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</si>
  <si>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</si>
  <si>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</si>
  <si>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</si>
  <si>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</si>
  <si>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</si>
  <si>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</si>
  <si>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</si>
  <si>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</si>
  <si>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</si>
  <si>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</si>
  <si>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</si>
  <si>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</si>
  <si>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</si>
  <si>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</si>
  <si>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</si>
  <si>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</si>
  <si>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</si>
  <si>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</si>
  <si>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</si>
  <si>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</si>
  <si>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</si>
  <si>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</si>
  <si>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</si>
  <si>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</si>
  <si>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</si>
  <si>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</si>
  <si>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</si>
  <si>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</si>
  <si>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</si>
  <si>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</si>
  <si>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</si>
  <si>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</si>
  <si>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</si>
  <si>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</si>
  <si>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</si>
  <si>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</si>
  <si>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</si>
  <si>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</si>
  <si>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</si>
  <si>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</si>
  <si>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</si>
  <si>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</si>
  <si>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</si>
  <si>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</si>
  <si>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</si>
  <si>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</si>
  <si>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</si>
  <si>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</si>
  <si>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</si>
  <si>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</si>
  <si>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</si>
  <si>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</si>
  <si>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</si>
  <si>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</si>
  <si>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</si>
  <si>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</si>
  <si>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</si>
  <si>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</si>
  <si>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</si>
  <si>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</si>
  <si>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</si>
  <si>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</si>
  <si>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</si>
  <si>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</si>
  <si>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</si>
  <si>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</si>
  <si>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</si>
  <si>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</si>
  <si>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</si>
  <si>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</si>
  <si>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</si>
  <si>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</si>
  <si>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</si>
  <si>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</si>
  <si>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</si>
  <si>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</si>
  <si>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</si>
  <si>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</si>
  <si>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</si>
  <si>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</si>
  <si>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</si>
  <si>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</si>
  <si>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</si>
  <si>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</si>
  <si>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</si>
  <si>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</si>
  <si>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</si>
  <si>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</si>
  <si>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</si>
  <si>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</si>
  <si>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</si>
  <si>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</si>
  <si>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</si>
  <si>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</si>
  <si>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</si>
  <si>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</si>
  <si>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</si>
  <si>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</si>
  <si>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</si>
  <si>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</si>
  <si>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</si>
  <si>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</si>
  <si>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</si>
  <si>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</si>
  <si>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</si>
  <si>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</si>
  <si>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</si>
  <si>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</si>
  <si>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</si>
  <si>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</si>
  <si>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</si>
  <si>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</si>
  <si>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</si>
  <si>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</si>
  <si>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</si>
  <si>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</si>
  <si>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</si>
  <si>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</si>
  <si>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</si>
  <si>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</si>
  <si>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</si>
  <si>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</si>
  <si>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</si>
  <si>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</si>
  <si>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</si>
  <si>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</si>
  <si>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</si>
  <si>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</si>
  <si>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</si>
  <si>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</si>
  <si>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</si>
  <si>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</si>
  <si>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</si>
  <si>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</si>
  <si>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</si>
  <si>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</si>
  <si>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</si>
  <si>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</si>
  <si>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</si>
  <si>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</si>
  <si>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</si>
  <si>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</si>
  <si>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</si>
  <si>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</si>
  <si>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</si>
  <si>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</si>
  <si>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</si>
  <si>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</si>
  <si>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</si>
  <si>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</si>
  <si>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</si>
  <si>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</si>
  <si>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</si>
  <si>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</si>
  <si>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</si>
  <si>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</si>
  <si>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</si>
  <si>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</si>
  <si>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</si>
  <si>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</si>
  <si>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</si>
  <si>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</si>
  <si>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</si>
  <si>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</si>
  <si>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</si>
  <si>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</si>
  <si>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</si>
  <si>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</si>
  <si>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</si>
  <si>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</si>
  <si>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</si>
  <si>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</si>
  <si>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</si>
  <si>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</si>
  <si>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</si>
  <si>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</si>
  <si>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</si>
  <si>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</si>
  <si>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</si>
  <si>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</si>
  <si>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</si>
  <si>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</si>
  <si>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</si>
  <si>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</si>
  <si>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</si>
  <si>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</si>
  <si>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</si>
  <si>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</si>
  <si>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</si>
  <si>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</si>
  <si>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</si>
  <si>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</si>
  <si>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</si>
  <si>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</si>
  <si>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</si>
  <si>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</si>
  <si>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</si>
  <si>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</si>
  <si>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</si>
  <si>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</si>
  <si>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</si>
  <si>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</si>
  <si>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</si>
  <si>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</si>
  <si>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</si>
  <si>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</si>
  <si>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</si>
  <si>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</si>
  <si>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</si>
  <si>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</si>
  <si>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</si>
  <si>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</si>
  <si>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</si>
  <si>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</si>
  <si>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</si>
  <si>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</si>
  <si>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</si>
  <si>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</si>
  <si>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</si>
  <si>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</si>
  <si>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</si>
  <si>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</si>
  <si>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</si>
  <si>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</si>
  <si>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</si>
  <si>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</si>
  <si>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</si>
  <si>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</si>
  <si>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</si>
  <si>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</si>
  <si>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</si>
  <si>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</si>
  <si>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</si>
  <si>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</si>
  <si>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</si>
  <si>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</si>
  <si>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</si>
  <si>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</si>
  <si>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</si>
  <si>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</si>
  <si>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</si>
  <si>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</si>
  <si>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</si>
  <si>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</si>
  <si>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</si>
  <si>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</si>
  <si>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</si>
  <si>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</si>
  <si>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</si>
  <si>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</si>
  <si>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</si>
  <si>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</si>
  <si>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</si>
  <si>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</si>
  <si>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</si>
  <si>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</si>
  <si>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</si>
  <si>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</si>
  <si>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</si>
  <si>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</si>
  <si>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</si>
  <si>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</si>
  <si>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</si>
  <si>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</si>
  <si>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</si>
  <si>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</si>
  <si>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</si>
  <si>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</si>
  <si>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</si>
  <si>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</si>
  <si>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</si>
  <si>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</si>
  <si>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</si>
  <si>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</si>
  <si>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</si>
  <si>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</si>
  <si>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</si>
  <si>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</si>
  <si>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</si>
  <si>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</si>
  <si>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</si>
  <si>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</si>
  <si>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</si>
  <si>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</si>
  <si>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</si>
  <si>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</si>
  <si>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</si>
  <si>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</si>
  <si>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</si>
  <si>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</si>
  <si>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</si>
  <si>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</si>
  <si>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</si>
  <si>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</si>
  <si>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</si>
  <si>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</si>
  <si>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</si>
  <si>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</si>
  <si>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</si>
  <si>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</si>
  <si>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</si>
  <si>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</si>
  <si>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</si>
  <si>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</si>
  <si>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</si>
  <si>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</si>
  <si>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</si>
  <si>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</si>
  <si>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</si>
  <si>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</si>
  <si>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</si>
  <si>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</si>
  <si>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</si>
  <si>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</si>
  <si>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</si>
  <si>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</si>
  <si>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</si>
  <si>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</si>
  <si>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</si>
  <si>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</si>
  <si>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</si>
  <si>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</si>
  <si>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</si>
  <si>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</si>
  <si>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</si>
  <si>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</si>
  <si>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</si>
  <si>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</si>
  <si>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</si>
  <si>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</si>
  <si>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</si>
  <si>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</si>
  <si>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</si>
  <si>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</si>
  <si>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</si>
  <si>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</si>
  <si>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</si>
  <si>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</si>
  <si>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</si>
  <si>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</si>
  <si>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</si>
  <si>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</si>
  <si>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</si>
  <si>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</si>
  <si>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</si>
  <si>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</si>
  <si>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</si>
  <si>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</si>
  <si>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</si>
  <si>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</si>
  <si>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</si>
  <si>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</si>
  <si>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</si>
  <si>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</si>
  <si>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</si>
  <si>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</si>
  <si>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</si>
  <si>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</si>
  <si>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</si>
  <si>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</si>
  <si>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</si>
  <si>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</si>
  <si>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</si>
  <si>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</si>
  <si>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</si>
  <si>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</si>
  <si>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</si>
  <si>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</si>
  <si>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</si>
  <si>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</si>
  <si>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</si>
  <si>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</si>
  <si>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</si>
  <si>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</si>
  <si>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</si>
  <si>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</si>
  <si>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</si>
  <si>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</si>
  <si>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</si>
  <si>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</si>
  <si>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</si>
  <si>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</si>
  <si>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</si>
  <si>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</si>
  <si>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</si>
  <si>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</si>
  <si>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</si>
  <si>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</si>
  <si>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</si>
  <si>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</si>
  <si>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</si>
  <si>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</si>
  <si>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</si>
  <si>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</si>
  <si>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</si>
  <si>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</si>
  <si>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</si>
  <si>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</si>
  <si>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</si>
  <si>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</si>
  <si>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</si>
  <si>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</si>
  <si>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</si>
  <si>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</si>
  <si>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</si>
  <si>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</si>
  <si>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</si>
  <si>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</si>
  <si>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</si>
  <si>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</si>
  <si>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</si>
  <si>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</si>
  <si>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</si>
  <si>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</si>
  <si>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</si>
  <si>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</si>
  <si>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</si>
  <si>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</si>
  <si>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</si>
  <si>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</si>
  <si>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</si>
  <si>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</si>
  <si>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</si>
  <si>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</si>
  <si>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</si>
  <si>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</si>
  <si>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</si>
  <si>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</si>
  <si>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</si>
  <si>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</si>
  <si>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</si>
  <si>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</si>
  <si>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</si>
  <si>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</si>
  <si>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</si>
  <si>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</si>
  <si>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</si>
  <si>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</si>
  <si>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</si>
  <si>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</si>
  <si>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</si>
  <si>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</si>
  <si>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</si>
  <si>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</si>
  <si>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</si>
  <si>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</si>
  <si>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</si>
  <si>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</si>
  <si>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</si>
  <si>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</si>
  <si>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</si>
  <si>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</si>
  <si>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</si>
  <si>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</si>
  <si>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</si>
  <si>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</si>
  <si>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</si>
  <si>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</si>
  <si>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</si>
  <si>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</si>
  <si>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</si>
  <si>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</si>
  <si>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</si>
  <si>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</si>
  <si>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</si>
  <si>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</si>
  <si>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</si>
  <si>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</si>
  <si>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</si>
  <si>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</si>
  <si>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</si>
  <si>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</si>
  <si>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</si>
  <si>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</si>
  <si>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</si>
  <si>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</si>
  <si>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</si>
  <si>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</si>
  <si>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</si>
  <si>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</si>
  <si>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</si>
  <si>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</si>
  <si>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</si>
  <si>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</si>
  <si>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</si>
  <si>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</si>
  <si>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</si>
  <si>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</si>
  <si>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</si>
  <si>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</si>
  <si>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</si>
  <si>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</si>
  <si>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</si>
  <si>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</si>
  <si>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</si>
  <si>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</si>
  <si>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</si>
  <si>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</si>
  <si>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</si>
  <si>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</si>
  <si>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</si>
  <si>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</si>
  <si>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</si>
  <si>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</si>
  <si>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</si>
  <si>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</si>
  <si>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</si>
  <si>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</si>
  <si>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</si>
  <si>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</si>
  <si>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</si>
  <si>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</si>
  <si>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</si>
  <si>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</si>
  <si>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</si>
  <si>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</si>
  <si>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</si>
  <si>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</si>
  <si>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</si>
  <si>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</si>
  <si>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</si>
  <si>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</si>
  <si>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</si>
  <si>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</si>
  <si>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</si>
  <si>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</si>
  <si>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</si>
  <si>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</si>
  <si>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</si>
  <si>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</si>
  <si>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</si>
  <si>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</si>
  <si>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</si>
  <si>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</si>
  <si>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</si>
  <si>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</si>
  <si>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</si>
  <si>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</si>
  <si>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</si>
  <si>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</si>
  <si>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</si>
  <si>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</si>
  <si>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</si>
  <si>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</si>
  <si>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</si>
  <si>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</si>
  <si>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</si>
  <si>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</si>
  <si>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</si>
  <si>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</si>
  <si>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</si>
  <si>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</si>
  <si>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</si>
  <si>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</si>
  <si>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</si>
  <si>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</si>
  <si>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</si>
  <si>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</si>
  <si>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</si>
  <si>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</si>
  <si>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</si>
  <si>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</si>
  <si>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</si>
  <si>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</si>
  <si>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</si>
  <si>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</si>
  <si>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</si>
  <si>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</si>
  <si>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</si>
  <si>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</si>
  <si>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</si>
  <si>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</si>
  <si>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</si>
  <si>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</si>
  <si>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</si>
  <si>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</si>
  <si>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</si>
  <si>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</si>
  <si>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</si>
  <si>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</si>
  <si>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</si>
  <si>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</si>
  <si>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</si>
  <si>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</si>
  <si>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</si>
  <si>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</si>
  <si>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</si>
  <si>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</si>
  <si>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</si>
  <si>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</si>
  <si>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</si>
  <si>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</si>
  <si>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</si>
  <si>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</si>
  <si>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</si>
  <si>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</si>
  <si>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</si>
  <si>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</si>
  <si>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</si>
  <si>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</si>
  <si>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</si>
  <si>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</si>
  <si>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</si>
  <si>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</si>
  <si>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</si>
  <si>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</si>
  <si>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</si>
  <si>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</si>
  <si>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</si>
  <si>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</si>
  <si>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</si>
  <si>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</si>
  <si>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</si>
  <si>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</si>
  <si>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</si>
  <si>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</si>
  <si>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</si>
  <si>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</si>
  <si>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</si>
  <si>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</si>
  <si>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</si>
  <si>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</si>
  <si>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</si>
  <si>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</si>
  <si>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</si>
  <si>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</si>
  <si>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</si>
  <si>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</si>
  <si>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</si>
  <si>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</si>
  <si>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</si>
  <si>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</si>
  <si>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</si>
  <si>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</si>
  <si>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</si>
  <si>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</si>
  <si>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</si>
  <si>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</si>
  <si>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</si>
  <si>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</si>
  <si>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</si>
  <si>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</si>
  <si>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</si>
  <si>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</si>
  <si>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</si>
  <si>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</si>
  <si>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</si>
  <si>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</si>
  <si>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</si>
  <si>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</si>
  <si>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</si>
  <si>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</si>
  <si>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</si>
  <si>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</si>
  <si>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</si>
  <si>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</si>
  <si>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</si>
  <si>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</si>
  <si>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</si>
  <si>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</si>
  <si>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</si>
  <si>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</si>
  <si>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</si>
  <si>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</si>
  <si>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</si>
  <si>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</si>
  <si>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</si>
  <si>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</si>
  <si>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</si>
  <si>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</si>
  <si>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</si>
  <si>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</si>
  <si>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</si>
  <si>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</si>
  <si>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</si>
  <si>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</si>
  <si>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</si>
  <si>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</si>
  <si>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</si>
  <si>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</si>
  <si>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</si>
  <si>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</si>
  <si>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</si>
  <si>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</si>
  <si>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</si>
  <si>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</si>
  <si>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</si>
  <si>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</si>
  <si>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</si>
  <si>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</si>
  <si>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</si>
  <si>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</si>
  <si>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</si>
  <si>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</si>
  <si>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</si>
  <si>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</si>
  <si>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</si>
  <si>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</si>
  <si>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</si>
  <si>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</si>
  <si>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</si>
  <si>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</si>
  <si>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</si>
  <si>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</si>
  <si>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</si>
  <si>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</si>
  <si>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</si>
  <si>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</si>
  <si>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</si>
  <si>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</si>
  <si>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</si>
  <si>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</si>
  <si>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</si>
  <si>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</si>
  <si>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</si>
  <si>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</si>
  <si>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</si>
  <si>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</si>
  <si>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</si>
  <si>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</si>
  <si>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</si>
  <si>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</si>
  <si>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</si>
  <si>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</si>
  <si>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</si>
  <si>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</si>
  <si>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</si>
  <si>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</si>
  <si>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</si>
  <si>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</si>
  <si>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</si>
  <si>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</si>
  <si>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</si>
  <si>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</si>
  <si>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</si>
  <si>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</si>
  <si>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</si>
  <si>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</si>
  <si>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</si>
  <si>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</si>
  <si>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</si>
  <si>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</si>
  <si>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</si>
  <si>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</si>
  <si>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</si>
  <si>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</si>
  <si>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</si>
  <si>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</si>
  <si>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</si>
  <si>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</si>
  <si>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</si>
  <si>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</si>
  <si>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</si>
  <si>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</si>
  <si>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</si>
  <si>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</si>
  <si>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</si>
  <si>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</si>
  <si>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</si>
  <si>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</si>
  <si>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</si>
  <si>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</si>
  <si>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</si>
  <si>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</si>
  <si>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</si>
  <si>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</si>
  <si>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</si>
  <si>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</si>
  <si>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</si>
  <si>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</si>
  <si>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</si>
  <si>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</si>
  <si>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</si>
  <si>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</si>
  <si>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</si>
  <si>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</si>
  <si>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</si>
  <si>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</si>
  <si>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</si>
  <si>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</si>
  <si>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</si>
  <si>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</si>
  <si>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</si>
  <si>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</si>
  <si>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</si>
  <si>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</si>
  <si>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</si>
  <si>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</si>
  <si>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</si>
  <si>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</si>
  <si>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</si>
  <si>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</si>
  <si>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</si>
  <si>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</si>
  <si>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</si>
  <si>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</si>
  <si>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</si>
  <si>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</si>
  <si>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</si>
  <si>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</si>
  <si>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</si>
  <si>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</si>
  <si>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</si>
  <si>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</si>
  <si>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</si>
  <si>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</si>
  <si>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</si>
  <si>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</si>
  <si>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</si>
  <si>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</si>
  <si>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</si>
  <si>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</si>
  <si>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</si>
  <si>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</si>
  <si>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</si>
  <si>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</si>
  <si>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</si>
  <si>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</si>
  <si>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</si>
  <si>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</si>
  <si>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</si>
  <si>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</si>
  <si>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</si>
  <si>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</si>
  <si>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</si>
  <si>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</si>
  <si>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</si>
  <si>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</si>
  <si>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</si>
  <si>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</si>
  <si>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</si>
  <si>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</si>
  <si>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</si>
  <si>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</si>
  <si>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</si>
  <si>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</si>
  <si>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</si>
  <si>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</si>
  <si>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</si>
  <si>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</si>
  <si>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</si>
  <si>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</si>
  <si>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</si>
  <si>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</si>
  <si>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</si>
  <si>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</si>
  <si>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</si>
  <si>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</si>
  <si>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</si>
  <si>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</si>
  <si>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</si>
  <si>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</si>
  <si>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</si>
  <si>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</si>
  <si>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</si>
  <si>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</si>
  <si>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</si>
  <si>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</si>
  <si>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</si>
  <si>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</si>
  <si>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</si>
  <si>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</si>
  <si>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</si>
  <si>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</si>
  <si>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</si>
  <si>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</si>
  <si>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</si>
  <si>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</si>
  <si>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</si>
  <si>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</si>
  <si>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</si>
  <si>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</si>
  <si>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</si>
  <si>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</si>
  <si>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</si>
  <si>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</si>
  <si>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</si>
  <si>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</si>
  <si>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</si>
  <si>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</si>
  <si>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</si>
  <si>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</si>
  <si>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</si>
  <si>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</si>
  <si>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</si>
  <si>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</si>
  <si>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</si>
  <si>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</si>
  <si>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</si>
  <si>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</si>
  <si>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</si>
  <si>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</si>
  <si>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</si>
  <si>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</si>
  <si>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</si>
  <si>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</si>
  <si>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</si>
  <si>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</si>
  <si>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</si>
  <si>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</si>
  <si>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</si>
  <si>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</si>
  <si>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</si>
  <si>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</si>
  <si>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</si>
  <si>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</si>
  <si>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</si>
  <si>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</si>
  <si>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</si>
  <si>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</si>
  <si>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</si>
  <si>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</si>
  <si>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</si>
  <si>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</si>
  <si>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</si>
  <si>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</si>
  <si>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</si>
  <si>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</si>
  <si>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</si>
  <si>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</si>
  <si>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</si>
  <si>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</si>
  <si>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</si>
  <si>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</si>
  <si>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</si>
  <si>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</si>
  <si>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</si>
  <si>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</si>
  <si>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</si>
  <si>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</si>
  <si>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</si>
  <si>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</si>
  <si>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</si>
  <si>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</si>
  <si>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</si>
  <si>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</si>
  <si>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</si>
  <si>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</si>
  <si>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</si>
  <si>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</si>
  <si>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</si>
  <si>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</si>
  <si>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</si>
  <si>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</si>
  <si>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</si>
  <si>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</si>
  <si>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</si>
  <si>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</si>
  <si>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</si>
  <si>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</si>
  <si>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</si>
  <si>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</si>
  <si>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</si>
  <si>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</si>
  <si>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</si>
  <si>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</si>
  <si>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</si>
  <si>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</si>
  <si>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</si>
  <si>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</si>
  <si>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</si>
  <si>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</si>
  <si>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</si>
  <si>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</si>
  <si>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</si>
  <si>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</si>
  <si>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</si>
  <si>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</si>
  <si>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</si>
  <si>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</si>
  <si>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</si>
  <si>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</si>
  <si>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</si>
  <si>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</si>
  <si>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</si>
  <si>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</si>
  <si>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</si>
  <si>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</si>
  <si>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</si>
  <si>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</si>
  <si>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</si>
  <si>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</si>
  <si>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</si>
  <si>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</si>
  <si>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</si>
  <si>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</si>
  <si>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</si>
  <si>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</si>
  <si>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</si>
  <si>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</si>
  <si>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</si>
  <si>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</si>
  <si>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</si>
  <si>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</si>
  <si>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</si>
  <si>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</si>
  <si>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</si>
  <si>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</si>
  <si>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</si>
  <si>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</si>
  <si>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</si>
  <si>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</si>
  <si>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</si>
  <si>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</si>
  <si>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</si>
  <si>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</si>
  <si>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</si>
  <si>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</si>
  <si>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</si>
  <si>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</si>
  <si>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</si>
  <si>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</si>
  <si>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</si>
  <si>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</si>
  <si>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</si>
  <si>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</si>
  <si>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</si>
  <si>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</si>
  <si>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</si>
  <si>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</si>
  <si>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</si>
  <si>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</si>
  <si>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</si>
  <si>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</si>
  <si>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</si>
  <si>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</si>
  <si>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</si>
  <si>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</si>
  <si>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</si>
  <si>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</si>
  <si>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</si>
  <si>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</si>
  <si>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</si>
  <si>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</si>
  <si>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</si>
  <si>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</si>
  <si>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</si>
  <si>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</si>
  <si>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</si>
  <si>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</si>
  <si>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</si>
  <si>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</si>
  <si>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</si>
  <si>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</si>
  <si>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</si>
  <si>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</si>
  <si>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</si>
  <si>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</si>
  <si>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</si>
  <si>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</si>
  <si>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</si>
  <si>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</si>
  <si>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</si>
  <si>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</si>
  <si>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</si>
  <si>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</si>
  <si>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</si>
  <si>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</si>
  <si>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</si>
  <si>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</si>
  <si>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</si>
  <si>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</si>
  <si>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</si>
  <si>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</si>
  <si>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</si>
  <si>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</si>
  <si>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</si>
  <si>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</si>
  <si>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</si>
  <si>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</si>
  <si>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</si>
  <si>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</si>
  <si>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</si>
  <si>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</si>
  <si>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</si>
  <si>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</si>
  <si>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</si>
  <si>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</si>
  <si>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</si>
  <si>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</si>
  <si>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</si>
  <si>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</si>
  <si>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</si>
  <si>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</si>
  <si>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</si>
  <si>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</si>
  <si>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</si>
  <si>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</si>
  <si>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</si>
  <si>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</si>
  <si>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</si>
  <si>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</si>
  <si>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</si>
  <si>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</si>
  <si>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</si>
  <si>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</si>
  <si>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</si>
  <si>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</si>
  <si>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</si>
  <si>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</si>
  <si>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</si>
  <si>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</si>
  <si>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</si>
  <si>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</si>
  <si>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</si>
  <si>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</si>
  <si>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</si>
  <si>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</si>
  <si>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</si>
  <si>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</si>
  <si>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</si>
  <si>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</si>
  <si>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</si>
  <si>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</si>
  <si>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</si>
  <si>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</si>
  <si>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</si>
  <si>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</si>
  <si>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</si>
  <si>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</si>
  <si>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</si>
  <si>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</si>
  <si>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</si>
  <si>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</si>
  <si>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</si>
  <si>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</si>
  <si>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</si>
  <si>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</si>
  <si>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</si>
  <si>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</si>
  <si>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</si>
  <si>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</si>
  <si>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</si>
  <si>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</si>
  <si>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</si>
  <si>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</si>
  <si>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</si>
  <si>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</si>
  <si>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</si>
  <si>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</si>
  <si>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</si>
  <si>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</si>
  <si>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</si>
  <si>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</si>
  <si>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</si>
  <si>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</si>
  <si>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</si>
  <si>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</si>
  <si>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</si>
  <si>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</si>
  <si>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</si>
  <si>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</si>
  <si>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</si>
  <si>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</si>
  <si>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</si>
  <si>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</si>
  <si>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</si>
  <si>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</si>
  <si>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</si>
  <si>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</si>
  <si>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</si>
  <si>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</si>
  <si>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</si>
  <si>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</si>
  <si>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</si>
  <si>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</si>
  <si>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</si>
  <si>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</si>
  <si>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</si>
  <si>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</si>
  <si>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</si>
  <si>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</si>
  <si>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</si>
  <si>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</si>
  <si>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</si>
  <si>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</si>
  <si>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</si>
  <si>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</si>
  <si>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</si>
  <si>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</si>
  <si>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</si>
  <si>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</si>
  <si>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</si>
  <si>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</si>
  <si>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</si>
  <si>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</si>
  <si>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</si>
  <si>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</si>
  <si>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</si>
  <si>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</si>
  <si>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</si>
  <si>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</si>
  <si>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</si>
  <si>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</si>
  <si>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</si>
  <si>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</si>
  <si>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</si>
  <si>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</si>
  <si>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</si>
  <si>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</si>
  <si>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</si>
  <si>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</si>
  <si>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</si>
  <si>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</si>
  <si>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</si>
  <si>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</si>
  <si>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</si>
  <si>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</si>
  <si>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</si>
  <si>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</si>
  <si>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</si>
  <si>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</si>
  <si>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</si>
  <si>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</si>
  <si>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</si>
  <si>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</si>
  <si>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</si>
  <si>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</si>
  <si>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</si>
  <si>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</si>
  <si>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</si>
  <si>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</si>
  <si>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</si>
  <si>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</si>
  <si>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</si>
  <si>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</si>
  <si>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</si>
  <si>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</si>
  <si>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</si>
  <si>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</si>
  <si>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</si>
  <si>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</si>
  <si>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</si>
  <si>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</si>
  <si>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</si>
  <si>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</si>
  <si>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</si>
  <si>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</si>
  <si>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</si>
  <si>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</si>
  <si>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</si>
  <si>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</si>
  <si>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</si>
  <si>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</si>
  <si>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</si>
  <si>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</si>
  <si>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</si>
  <si>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</si>
  <si>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</si>
  <si>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</si>
  <si>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</si>
  <si>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</si>
  <si>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</si>
  <si>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</si>
  <si>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</si>
  <si>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</si>
  <si>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</si>
  <si>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</si>
  <si>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</si>
  <si>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</si>
  <si>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</si>
  <si>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</si>
  <si>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</si>
  <si>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</si>
  <si>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</si>
  <si>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</si>
  <si>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</si>
  <si>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</si>
  <si>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</si>
  <si>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</si>
  <si>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</si>
  <si>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</si>
  <si>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</si>
  <si>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</si>
  <si>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</si>
  <si>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</si>
  <si>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</si>
  <si>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</si>
  <si>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</si>
  <si>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</si>
  <si>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</si>
  <si>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</si>
  <si>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</si>
  <si>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</si>
  <si>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</si>
  <si>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</si>
  <si>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</si>
  <si>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</si>
  <si>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</si>
  <si>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</si>
  <si>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</si>
  <si>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</si>
  <si>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</si>
  <si>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</si>
  <si>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</si>
  <si>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</si>
  <si>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</si>
  <si>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</si>
  <si>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</si>
  <si>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</si>
  <si>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</si>
  <si>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</si>
  <si>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</si>
  <si>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</si>
  <si>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</si>
  <si>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</si>
  <si>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</si>
  <si>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</si>
  <si>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</si>
  <si>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</si>
  <si>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</si>
  <si>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</si>
  <si>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</si>
  <si>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</si>
  <si>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</si>
  <si>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</si>
  <si>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</si>
  <si>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</si>
  <si>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</si>
  <si>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</si>
  <si>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</si>
  <si>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</si>
  <si>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</si>
  <si>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</si>
  <si>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</si>
  <si>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</si>
  <si>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</si>
  <si>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</si>
  <si>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</si>
  <si>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</si>
  <si>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</si>
  <si>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</si>
  <si>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</si>
  <si>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</si>
  <si>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</si>
  <si>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</si>
  <si>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</si>
  <si>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</si>
  <si>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</si>
  <si>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</si>
  <si>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</si>
  <si>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</si>
  <si>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</si>
  <si>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</si>
  <si>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</si>
  <si>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</si>
  <si>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</si>
  <si>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</si>
  <si>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</si>
  <si>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</si>
  <si>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</si>
  <si>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</si>
  <si>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</si>
  <si>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</si>
  <si>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</si>
  <si>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</si>
  <si>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</si>
  <si>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</si>
  <si>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</si>
  <si>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</si>
  <si>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</si>
  <si>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</si>
  <si>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</si>
  <si>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</si>
  <si>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</si>
  <si>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</si>
  <si>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</si>
  <si>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</si>
  <si>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</si>
  <si>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</si>
  <si>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</si>
  <si>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</si>
  <si>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</si>
  <si>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</si>
  <si>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</si>
  <si>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</si>
  <si>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</si>
  <si>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</si>
  <si>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</si>
  <si>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</si>
  <si>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</si>
  <si>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</si>
  <si>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</si>
  <si>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</si>
  <si>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</si>
  <si>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</si>
  <si>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</si>
  <si>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</si>
  <si>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</si>
  <si>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</si>
  <si>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</si>
  <si>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</si>
  <si>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</si>
  <si>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</si>
  <si>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</si>
  <si>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</si>
  <si>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</si>
  <si>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</si>
  <si>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</si>
  <si>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</si>
  <si>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</si>
  <si>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</si>
  <si>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</si>
  <si>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</si>
  <si>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</si>
  <si>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</si>
  <si>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</si>
  <si>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</si>
  <si>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</si>
  <si>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</si>
  <si>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</si>
  <si>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</si>
  <si>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</si>
  <si>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</si>
  <si>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</si>
  <si>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</si>
  <si>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</si>
  <si>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</si>
  <si>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</si>
  <si>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</si>
  <si>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</si>
  <si>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</si>
  <si>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</si>
  <si>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</si>
  <si>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</si>
  <si>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</si>
  <si>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</si>
  <si>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</si>
  <si>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</si>
  <si>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</si>
  <si>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</si>
  <si>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</si>
  <si>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</si>
  <si>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</si>
  <si>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</si>
  <si>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</si>
  <si>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</si>
  <si>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</si>
  <si>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</si>
  <si>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</si>
  <si>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</si>
  <si>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</si>
  <si>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</si>
  <si>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</si>
  <si>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</si>
  <si>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</si>
  <si>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</si>
  <si>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</si>
  <si>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</si>
  <si>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</si>
  <si>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</si>
  <si>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</si>
  <si>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</si>
  <si>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</si>
  <si>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</si>
  <si>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</si>
  <si>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</si>
  <si>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</si>
  <si>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</si>
  <si>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</si>
  <si>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</si>
  <si>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</si>
  <si>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</si>
  <si>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</si>
  <si>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</si>
  <si>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</si>
  <si>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</si>
  <si>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</si>
  <si>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</si>
  <si>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</si>
  <si>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</si>
  <si>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</si>
  <si>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</si>
  <si>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</si>
  <si>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</si>
  <si>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</si>
  <si>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</si>
  <si>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</si>
  <si>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</si>
  <si>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</si>
  <si>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</si>
  <si>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</si>
  <si>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</si>
  <si>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</si>
  <si>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</si>
  <si>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</si>
  <si>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</si>
  <si>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</si>
  <si>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</si>
  <si>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</si>
  <si>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</si>
  <si>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</si>
  <si>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</si>
  <si>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</si>
  <si>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</si>
  <si>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</si>
  <si>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</si>
  <si>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</si>
  <si>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</si>
  <si>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</si>
  <si>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</si>
  <si>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</si>
  <si>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</si>
  <si>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</si>
  <si>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</si>
  <si>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</si>
  <si>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</si>
  <si>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</si>
  <si>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</si>
  <si>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</si>
  <si>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</si>
  <si>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</si>
  <si>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</si>
  <si>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</si>
  <si>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</si>
  <si>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</si>
  <si>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</si>
  <si>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</si>
  <si>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</si>
  <si>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</si>
  <si>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</si>
  <si>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</si>
  <si>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</si>
  <si>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</si>
  <si>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</si>
  <si>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</si>
  <si>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</si>
  <si>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</si>
  <si>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</si>
  <si>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</si>
  <si>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</si>
  <si>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</si>
  <si>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</si>
  <si>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</si>
  <si>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</si>
  <si>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</si>
  <si>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</si>
  <si>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</si>
  <si>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</si>
  <si>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</si>
  <si>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</si>
  <si>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</si>
  <si>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</si>
  <si>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</si>
  <si>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</si>
  <si>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</si>
  <si>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</si>
  <si>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</si>
  <si>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</si>
  <si>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</si>
  <si>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</si>
  <si>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</si>
  <si>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</si>
  <si>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</si>
  <si>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</si>
  <si>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</si>
  <si>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</si>
  <si>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</si>
  <si>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</si>
  <si>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</si>
  <si>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</si>
  <si>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</si>
  <si>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</si>
  <si>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</si>
  <si>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</si>
  <si>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</si>
  <si>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</si>
  <si>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</si>
  <si>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</si>
  <si>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</si>
  <si>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</si>
  <si>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</si>
  <si>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</si>
  <si>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</si>
  <si>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</si>
  <si>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</si>
  <si>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</si>
  <si>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</si>
  <si>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</si>
  <si>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</si>
  <si>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</si>
  <si>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</si>
  <si>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</si>
  <si>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</si>
  <si>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</si>
  <si>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</si>
  <si>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</si>
  <si>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</si>
  <si>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</si>
  <si>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</si>
  <si>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</si>
  <si>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</si>
  <si>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</si>
  <si>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</si>
  <si>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</si>
  <si>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</si>
  <si>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</si>
  <si>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</si>
  <si>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</si>
  <si>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</si>
  <si>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</si>
  <si>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</si>
  <si>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</si>
  <si>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</si>
  <si>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</si>
  <si>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</si>
  <si>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</si>
  <si>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</si>
  <si>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</si>
  <si>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</si>
  <si>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</si>
  <si>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</si>
  <si>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</si>
  <si>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</si>
  <si>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</si>
  <si>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</si>
  <si>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</si>
  <si>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</si>
  <si>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</si>
  <si>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</si>
  <si>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</si>
  <si>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</si>
  <si>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</si>
  <si>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</si>
  <si>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</si>
  <si>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</si>
  <si>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</si>
  <si>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</si>
  <si>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</si>
  <si>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</si>
  <si>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</si>
  <si>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</si>
  <si>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</si>
  <si>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</si>
  <si>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</si>
  <si>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</si>
  <si>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</si>
  <si>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</si>
  <si>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</si>
  <si>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</si>
  <si>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</si>
  <si>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</si>
  <si>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</si>
  <si>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</si>
  <si>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</si>
  <si>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</si>
  <si>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</si>
  <si>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</si>
  <si>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</si>
  <si>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</si>
  <si>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</si>
  <si>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</si>
  <si>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</si>
  <si>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</si>
  <si>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</si>
  <si>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</si>
  <si>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</si>
  <si>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</si>
  <si>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</si>
  <si>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</si>
  <si>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</si>
  <si>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</si>
  <si>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</si>
  <si>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</si>
  <si>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</si>
  <si>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</si>
  <si>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</si>
  <si>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</si>
  <si>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</si>
  <si>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</si>
  <si>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</si>
  <si>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</si>
  <si>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</si>
  <si>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</si>
  <si>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</si>
  <si>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</si>
  <si>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</si>
  <si>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</si>
  <si>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</si>
  <si>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</si>
  <si>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</si>
  <si>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</si>
  <si>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</si>
  <si>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</si>
  <si>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</si>
  <si>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</si>
  <si>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</si>
  <si>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</si>
  <si>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</si>
  <si>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</si>
  <si>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</si>
  <si>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</si>
  <si>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</si>
  <si>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</si>
  <si>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</si>
  <si>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</si>
  <si>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</si>
  <si>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</si>
  <si>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</si>
  <si>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</si>
  <si>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</si>
  <si>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</si>
  <si>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</si>
  <si>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</si>
  <si>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</si>
  <si>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</si>
  <si>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</si>
  <si>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</si>
  <si>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</si>
  <si>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</si>
  <si>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</si>
  <si>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</si>
  <si>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</si>
  <si>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</si>
  <si>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</si>
  <si>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</si>
  <si>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</si>
  <si>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</si>
  <si>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</si>
  <si>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</si>
  <si>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</si>
  <si>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</si>
  <si>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</si>
  <si>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</si>
  <si>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</si>
  <si>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</si>
  <si>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</si>
  <si>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</si>
  <si>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</si>
  <si>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</si>
  <si>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</si>
  <si>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</si>
  <si>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</si>
  <si>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</si>
  <si>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</si>
  <si>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</si>
  <si>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</si>
  <si>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</si>
  <si>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</si>
  <si>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</si>
  <si>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</si>
  <si>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</si>
  <si>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</si>
  <si>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</si>
  <si>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</si>
  <si>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</si>
  <si>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</si>
  <si>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</si>
  <si>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</si>
  <si>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</si>
  <si>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</si>
  <si>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</si>
  <si>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</si>
  <si>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</si>
  <si>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</si>
  <si>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</si>
  <si>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</si>
  <si>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</si>
  <si>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</si>
  <si>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</si>
  <si>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</si>
  <si>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</si>
  <si>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</si>
  <si>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</si>
  <si>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</si>
  <si>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</si>
  <si>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</si>
  <si>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</si>
  <si>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</si>
  <si>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</si>
  <si>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</si>
  <si>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</si>
  <si>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</si>
  <si>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</si>
  <si>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</si>
  <si>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</si>
  <si>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</si>
  <si>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</si>
  <si>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</si>
  <si>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</si>
  <si>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</si>
  <si>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</si>
  <si>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</si>
  <si>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</si>
  <si>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</si>
  <si>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</si>
  <si>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</si>
  <si>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</si>
  <si>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</si>
  <si>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</si>
  <si>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</si>
  <si>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</si>
  <si>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</si>
  <si>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</si>
  <si>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</si>
  <si>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</si>
  <si>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</si>
  <si>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</si>
  <si>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</si>
  <si>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</si>
  <si>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</si>
  <si>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</si>
  <si>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</si>
  <si>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</si>
  <si>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</si>
  <si>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</si>
  <si>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</si>
  <si>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</si>
  <si>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</si>
  <si>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</si>
  <si>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</si>
  <si>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</si>
  <si>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</si>
  <si>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</si>
  <si>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</si>
  <si>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</si>
  <si>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</si>
  <si>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</si>
  <si>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</si>
  <si>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</si>
  <si>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</si>
  <si>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</si>
  <si>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</si>
  <si>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</si>
  <si>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</si>
  <si>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</si>
  <si>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</si>
  <si>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</si>
  <si>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</si>
  <si>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</si>
  <si>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</si>
  <si>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</si>
  <si>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</si>
  <si>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</si>
  <si>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</si>
  <si>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</si>
  <si>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</si>
  <si>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</si>
  <si>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</si>
  <si>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</si>
  <si>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</si>
  <si>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</si>
  <si>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</si>
  <si>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</si>
  <si>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</si>
  <si>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</si>
  <si>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</si>
  <si>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</si>
  <si>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</si>
  <si>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</si>
  <si>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</si>
  <si>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</si>
  <si>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</si>
  <si>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</si>
  <si>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</si>
  <si>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</si>
  <si>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</si>
  <si>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</si>
  <si>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</si>
  <si>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</si>
  <si>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</si>
  <si>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</si>
  <si>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</si>
  <si>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</si>
  <si>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</si>
  <si>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</si>
  <si>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</si>
  <si>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</si>
  <si>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</si>
  <si>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</si>
  <si>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</si>
  <si>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</si>
  <si>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</si>
  <si>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</si>
  <si>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</si>
  <si>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</si>
  <si>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</si>
  <si>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</si>
  <si>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</si>
  <si>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</si>
  <si>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</si>
  <si>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</si>
  <si>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</si>
  <si>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</si>
  <si>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</si>
  <si>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</si>
  <si>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</si>
  <si>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</si>
  <si>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</si>
  <si>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</si>
  <si>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</si>
  <si>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</si>
  <si>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</si>
  <si>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</si>
  <si>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</si>
  <si>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</si>
  <si>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</si>
  <si>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</si>
  <si>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</si>
  <si>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</si>
  <si>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</si>
  <si>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</si>
  <si>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</si>
  <si>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</si>
  <si>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</si>
  <si>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</si>
  <si>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</si>
  <si>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</si>
  <si>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</si>
  <si>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</si>
  <si>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</si>
  <si>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</si>
  <si>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</si>
  <si>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</si>
  <si>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</si>
  <si>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</si>
  <si>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</si>
  <si>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</si>
  <si>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</si>
  <si>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</si>
  <si>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</si>
  <si>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</si>
  <si>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</si>
  <si>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</si>
  <si>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</si>
  <si>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</si>
  <si>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</si>
  <si>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</si>
  <si>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</si>
  <si>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</si>
  <si>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</si>
  <si>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</si>
  <si>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</si>
  <si>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</si>
  <si>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</si>
  <si>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</si>
  <si>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</si>
  <si>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</si>
  <si>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</si>
  <si>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</si>
  <si>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</si>
  <si>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</si>
  <si>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</si>
  <si>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</si>
  <si>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</si>
  <si>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</si>
  <si>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</si>
  <si>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</si>
  <si>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</si>
  <si>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</si>
  <si>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</si>
  <si>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</si>
  <si>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</si>
  <si>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</si>
  <si>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</si>
  <si>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</si>
  <si>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</si>
  <si>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</si>
  <si>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</si>
  <si>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</si>
  <si>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</si>
  <si>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</si>
  <si>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</si>
  <si>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</si>
  <si>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</si>
  <si>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</si>
  <si>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</si>
  <si>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</si>
  <si>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</si>
  <si>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</si>
  <si>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</si>
  <si>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</si>
  <si>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</si>
  <si>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</si>
  <si>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</si>
  <si>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</si>
  <si>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</si>
  <si>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</si>
  <si>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</si>
  <si>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</si>
  <si>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</si>
  <si>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</si>
  <si>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</si>
  <si>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</si>
  <si>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</si>
  <si>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</si>
  <si>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</si>
  <si>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</si>
  <si>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</si>
  <si>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</si>
  <si>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</si>
  <si>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</si>
  <si>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</si>
  <si>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</si>
  <si>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</si>
  <si>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</si>
  <si>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</si>
  <si>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</si>
  <si>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</si>
  <si>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</si>
  <si>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</si>
  <si>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</si>
  <si>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</si>
  <si>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</si>
  <si>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</si>
  <si>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</si>
  <si>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</si>
  <si>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</si>
  <si>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</si>
  <si>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</si>
  <si>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</si>
  <si>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</si>
  <si>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</si>
  <si>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</si>
  <si>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</si>
  <si>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</si>
  <si>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</si>
  <si>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</si>
  <si>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</si>
  <si>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</si>
  <si>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</si>
  <si>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</si>
  <si>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</si>
  <si>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</si>
  <si>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</si>
  <si>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</si>
  <si>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</si>
  <si>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</si>
  <si>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</si>
  <si>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</si>
  <si>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</si>
  <si>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</si>
  <si>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</si>
  <si>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</si>
  <si>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</si>
  <si>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</si>
  <si>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</si>
  <si>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</si>
  <si>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</si>
  <si>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</si>
  <si>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</si>
  <si>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</si>
  <si>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</si>
  <si>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</si>
  <si>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</si>
  <si>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</si>
  <si>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</si>
  <si>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</si>
  <si>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</si>
  <si>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</si>
  <si>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</si>
  <si>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</si>
  <si>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</si>
  <si>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</si>
  <si>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</si>
  <si>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</si>
  <si>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</si>
  <si>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</si>
  <si>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</si>
  <si>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</si>
  <si>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</si>
  <si>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</si>
  <si>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</si>
  <si>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</si>
  <si>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</si>
  <si>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</si>
  <si>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</si>
  <si>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</si>
  <si>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</si>
  <si>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</si>
  <si>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</si>
  <si>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</si>
  <si>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</si>
  <si>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</si>
  <si>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</si>
  <si>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</si>
  <si>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</si>
  <si>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</si>
  <si>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Dirección general</t>
  </si>
  <si>
    <t>Al 31 de diciembre de 2021 y al 30 de marzo de 2022 (b)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</si>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</sst>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0" workbookViewId="0">
      <selection activeCell="XFD4" sqref="XFD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2022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47283526.803300001</v>
      </c>
      <c r="C8" s="40">
        <f>SUM(C9:C11)</f>
        <v>17403463.77</v>
      </c>
      <c r="D8" s="40">
        <f>SUM(D9:D11)</f>
        <v>14076542.77</v>
      </c>
    </row>
    <row r="9" spans="1:11" x14ac:dyDescent="0.25">
      <c r="A9" s="53" t="s">
        <v>169</v>
      </c>
      <c r="B9" s="23">
        <v>47283526.803300001</v>
      </c>
      <c r="C9" s="23">
        <v>17403463.77</v>
      </c>
      <c r="D9" s="23">
        <v>14076542.77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47283526.803300001</v>
      </c>
      <c r="C13" s="40">
        <f t="shared" ref="C13:D13" si="1">C14+C15</f>
        <v>7141467.950000002</v>
      </c>
      <c r="D13" s="40">
        <f t="shared" si="1"/>
        <v>6938706.6799999997</v>
      </c>
    </row>
    <row r="14" spans="1:11" x14ac:dyDescent="0.25">
      <c r="A14" s="53" t="s">
        <v>172</v>
      </c>
      <c r="B14" s="23">
        <v>47283526.803300001</v>
      </c>
      <c r="C14" s="23">
        <v>7141467.950000002</v>
      </c>
      <c r="D14" s="23">
        <v>6938706.6799999997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10261995.819999997</v>
      </c>
      <c r="D21" s="40">
        <f>D8-D13+D17</f>
        <v>7137836.0899999999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10261995.819999997</v>
      </c>
      <c r="D23" s="40">
        <f>D21-D11</f>
        <v>7137836.0899999999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10261995.819999997</v>
      </c>
      <c r="D25" s="40">
        <f>D23-D17</f>
        <v>7137836.0899999999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3">C30+C31</f>
        <v>0</v>
      </c>
      <c r="D29" s="61">
        <f t="shared" si="3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4">C25+C29</f>
        <v>10261995.819999997</v>
      </c>
      <c r="D33" s="61">
        <f t="shared" si="4"/>
        <v>7137836.0899999999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5">C38+C39</f>
        <v>0</v>
      </c>
      <c r="D37" s="61">
        <f t="shared" si="5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6">C41+C42</f>
        <v>0</v>
      </c>
      <c r="D40" s="61">
        <f t="shared" si="6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7">C37-C40</f>
        <v>0</v>
      </c>
      <c r="D44" s="61">
        <f t="shared" si="7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47283526.803300001</v>
      </c>
      <c r="C48" s="124">
        <f>C9</f>
        <v>17403463.77</v>
      </c>
      <c r="D48" s="124">
        <f>D9</f>
        <v>14076542.77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8">C50-C51</f>
        <v>0</v>
      </c>
      <c r="D49" s="61">
        <f t="shared" si="8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47283526.803300001</v>
      </c>
      <c r="C53" s="60">
        <f>C14</f>
        <v>7141467.950000002</v>
      </c>
      <c r="D53" s="60">
        <f>D14</f>
        <v>6938706.6799999997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9">C18</f>
        <v>0</v>
      </c>
      <c r="D55" s="60">
        <f t="shared" si="9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10261995.819999997</v>
      </c>
      <c r="D57" s="61">
        <f>D48+D49-D53+D55</f>
        <v>7137836.0899999999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10261995.819999997</v>
      </c>
      <c r="D59" s="61">
        <f>D57-D49</f>
        <v>7137836.0899999999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0">C10</f>
        <v>0</v>
      </c>
      <c r="D63" s="122">
        <f t="shared" si="10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1">C65-C66</f>
        <v>0</v>
      </c>
      <c r="D64" s="40">
        <f t="shared" si="11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2">C15</f>
        <v>0</v>
      </c>
      <c r="D68" s="23">
        <f t="shared" si="12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3">C19</f>
        <v>0</v>
      </c>
      <c r="D70" s="23">
        <f t="shared" si="13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4">C63+C64-C68+C70</f>
        <v>0</v>
      </c>
      <c r="D72" s="40">
        <f t="shared" si="14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5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47283526.803300001</v>
      </c>
      <c r="Q2" s="18">
        <f>'Formato 4'!C8</f>
        <v>17403463.77</v>
      </c>
      <c r="R2" s="18">
        <f>'Formato 4'!D8</f>
        <v>14076542.77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47283526.803300001</v>
      </c>
      <c r="Q3" s="18">
        <f>'Formato 4'!C9</f>
        <v>17403463.77</v>
      </c>
      <c r="R3" s="18">
        <f>'Formato 4'!D9</f>
        <v>14076542.77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47283526.803300001</v>
      </c>
      <c r="Q6" s="18">
        <f>'Formato 4'!C13</f>
        <v>7141467.950000002</v>
      </c>
      <c r="R6" s="18">
        <f>'Formato 4'!D13</f>
        <v>6938706.6799999997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47283526.803300001</v>
      </c>
      <c r="Q7" s="18">
        <f>'Formato 4'!C14</f>
        <v>7141467.950000002</v>
      </c>
      <c r="R7" s="18">
        <f>'Formato 4'!D14</f>
        <v>6938706.6799999997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10261995.819999997</v>
      </c>
      <c r="R12" s="18">
        <f>'Formato 4'!D21</f>
        <v>7137836.0899999999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10261995.819999997</v>
      </c>
      <c r="R13" s="18">
        <f>'Formato 4'!D23</f>
        <v>7137836.0899999999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10261995.819999997</v>
      </c>
      <c r="R14" s="18">
        <f>'Formato 4'!D25</f>
        <v>7137836.0899999999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10261995.819999997</v>
      </c>
      <c r="R18">
        <f>'Formato 4'!D33</f>
        <v>7137836.0899999999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47283526.803300001</v>
      </c>
      <c r="Q26">
        <f>'Formato 4'!C48</f>
        <v>17403463.77</v>
      </c>
      <c r="R26">
        <f>'Formato 4'!D48</f>
        <v>14076542.77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47283526.803300001</v>
      </c>
      <c r="Q30">
        <f>'Formato 4'!C53</f>
        <v>7141467.950000002</v>
      </c>
      <c r="R30">
        <f>'Formato 4'!D53</f>
        <v>6938706.6799999997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22" zoomScale="85" zoomScaleNormal="85" workbookViewId="0">
      <selection activeCell="B70" sqref="B70:G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47283526.803300001</v>
      </c>
      <c r="C34" s="60">
        <v>718043</v>
      </c>
      <c r="D34" s="60">
        <v>48001569.803300001</v>
      </c>
      <c r="E34" s="60">
        <v>17362783</v>
      </c>
      <c r="F34" s="60">
        <v>14035862</v>
      </c>
      <c r="G34" s="60">
        <v>-33247664.803300001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>C38+C39</f>
        <v>0</v>
      </c>
      <c r="D37" s="60">
        <f t="shared" ref="D37:G37" si="6">D38+D39</f>
        <v>0</v>
      </c>
      <c r="E37" s="60">
        <f t="shared" si="6"/>
        <v>40680.769999999997</v>
      </c>
      <c r="F37" s="60">
        <f t="shared" si="6"/>
        <v>40680.769999999997</v>
      </c>
      <c r="G37" s="60">
        <f t="shared" si="6"/>
        <v>40680.769999999997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40680.769999999997</v>
      </c>
      <c r="F39" s="60">
        <v>40680.769999999997</v>
      </c>
      <c r="G39" s="60">
        <v>40680.769999999997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47283526.803300001</v>
      </c>
      <c r="C41" s="61">
        <f t="shared" si="7"/>
        <v>718043</v>
      </c>
      <c r="D41" s="61">
        <f t="shared" si="7"/>
        <v>48001569.803300001</v>
      </c>
      <c r="E41" s="61">
        <f t="shared" si="7"/>
        <v>17403463.77</v>
      </c>
      <c r="F41" s="61">
        <f t="shared" si="7"/>
        <v>14076542.77</v>
      </c>
      <c r="G41" s="61">
        <f t="shared" si="7"/>
        <v>-33206984.033300001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47283526.803300001</v>
      </c>
      <c r="C70" s="61">
        <f t="shared" ref="C70:G70" si="15">C41+C65+C67</f>
        <v>718043</v>
      </c>
      <c r="D70" s="61">
        <f t="shared" si="15"/>
        <v>48001569.803300001</v>
      </c>
      <c r="E70" s="61">
        <f t="shared" si="15"/>
        <v>17403463.77</v>
      </c>
      <c r="F70" s="61">
        <f t="shared" si="15"/>
        <v>14076542.77</v>
      </c>
      <c r="G70" s="61">
        <f t="shared" si="15"/>
        <v>-33206984.033300001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47283526.803300001</v>
      </c>
      <c r="Q28" s="18">
        <f>'Formato 5'!C34</f>
        <v>718043</v>
      </c>
      <c r="R28" s="18">
        <f>'Formato 5'!D34</f>
        <v>48001569.803300001</v>
      </c>
      <c r="S28" s="18">
        <f>'Formato 5'!E34</f>
        <v>17362783</v>
      </c>
      <c r="T28" s="18">
        <f>'Formato 5'!F34</f>
        <v>14035862</v>
      </c>
      <c r="U28" s="18">
        <f>'Formato 5'!G34</f>
        <v>-33247664.803300001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40680.769999999997</v>
      </c>
      <c r="T31" s="18">
        <f>'Formato 5'!F37</f>
        <v>40680.769999999997</v>
      </c>
      <c r="U31" s="18">
        <f>'Formato 5'!G37</f>
        <v>40680.769999999997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40680.769999999997</v>
      </c>
      <c r="T33" s="18">
        <f>'Formato 5'!F39</f>
        <v>40680.769999999997</v>
      </c>
      <c r="U33" s="18">
        <f>'Formato 5'!G39</f>
        <v>40680.769999999997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47283526.803300001</v>
      </c>
      <c r="Q34">
        <f>'Formato 5'!C41</f>
        <v>718043</v>
      </c>
      <c r="R34">
        <f>'Formato 5'!D41</f>
        <v>48001569.803300001</v>
      </c>
      <c r="S34">
        <f>'Formato 5'!E41</f>
        <v>17403463.77</v>
      </c>
      <c r="T34">
        <f>'Formato 5'!F41</f>
        <v>14076542.77</v>
      </c>
      <c r="U34">
        <f>'Formato 5'!G41</f>
        <v>-33206984.033300001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" zoomScale="93" zoomScaleNormal="93" zoomScalePageLayoutView="90" workbookViewId="0">
      <selection activeCell="B9" sqref="B9:G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2022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47283526.803300001</v>
      </c>
      <c r="C9" s="79">
        <f t="shared" ref="C9:G9" si="0">SUM(C10,C18,C28,C38,C48,C58,C62,C71,C75)</f>
        <v>718043</v>
      </c>
      <c r="D9" s="79">
        <f t="shared" si="0"/>
        <v>48001569.803300001</v>
      </c>
      <c r="E9" s="79">
        <f t="shared" si="0"/>
        <v>7141467.9499999993</v>
      </c>
      <c r="F9" s="79">
        <f t="shared" si="0"/>
        <v>6938706.6799999997</v>
      </c>
      <c r="G9" s="79">
        <f t="shared" si="0"/>
        <v>40860101.853299998</v>
      </c>
    </row>
    <row r="10" spans="1:7" x14ac:dyDescent="0.25">
      <c r="A10" s="83" t="s">
        <v>286</v>
      </c>
      <c r="B10" s="80">
        <f t="shared" ref="B10:G10" si="1">SUM(B11:B17)</f>
        <v>31868710</v>
      </c>
      <c r="C10" s="80">
        <f t="shared" si="1"/>
        <v>0</v>
      </c>
      <c r="D10" s="80">
        <f t="shared" si="1"/>
        <v>31868710</v>
      </c>
      <c r="E10" s="80">
        <f t="shared" si="1"/>
        <v>6292688.8899999987</v>
      </c>
      <c r="F10" s="80">
        <f t="shared" si="1"/>
        <v>6137461.6199999992</v>
      </c>
      <c r="G10" s="80">
        <f t="shared" si="1"/>
        <v>25576021.109999999</v>
      </c>
    </row>
    <row r="11" spans="1:7" x14ac:dyDescent="0.25">
      <c r="A11" s="84" t="s">
        <v>287</v>
      </c>
      <c r="B11" s="80">
        <v>18788251.890000001</v>
      </c>
      <c r="C11" s="80">
        <v>0</v>
      </c>
      <c r="D11" s="80">
        <v>18788251.890000001</v>
      </c>
      <c r="E11" s="80">
        <v>3821895.46</v>
      </c>
      <c r="F11" s="80">
        <v>3821895.46</v>
      </c>
      <c r="G11" s="80">
        <f>D11-E11</f>
        <v>14966356.43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3595310.63</v>
      </c>
      <c r="C13" s="80">
        <v>0</v>
      </c>
      <c r="D13" s="80">
        <v>3595310.63</v>
      </c>
      <c r="E13" s="80">
        <v>393165.89000000007</v>
      </c>
      <c r="F13" s="80">
        <v>393165.89000000007</v>
      </c>
      <c r="G13" s="80">
        <f>D13-E13</f>
        <v>3202144.7399999998</v>
      </c>
    </row>
    <row r="14" spans="1:7" x14ac:dyDescent="0.25">
      <c r="A14" s="84" t="s">
        <v>290</v>
      </c>
      <c r="B14" s="80">
        <v>4567860.5600000005</v>
      </c>
      <c r="C14" s="80">
        <v>0</v>
      </c>
      <c r="D14" s="80">
        <v>4567860.5600000005</v>
      </c>
      <c r="E14" s="80">
        <v>803190.1</v>
      </c>
      <c r="F14" s="80">
        <v>647962.82999999996</v>
      </c>
      <c r="G14" s="80">
        <f>D14-E14</f>
        <v>3764670.4600000004</v>
      </c>
    </row>
    <row r="15" spans="1:7" x14ac:dyDescent="0.25">
      <c r="A15" s="84" t="s">
        <v>291</v>
      </c>
      <c r="B15" s="80">
        <v>4917286.92</v>
      </c>
      <c r="C15" s="80">
        <v>0</v>
      </c>
      <c r="D15" s="80">
        <v>4917286.92</v>
      </c>
      <c r="E15" s="80">
        <v>1274437.44</v>
      </c>
      <c r="F15" s="80">
        <v>1274437.44</v>
      </c>
      <c r="G15" s="80">
        <f t="shared" ref="G15:G17" si="2">D15-E15</f>
        <v>3642849.48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1603386.9988000002</v>
      </c>
      <c r="C18" s="80">
        <f t="shared" ref="C18:F18" si="3">SUM(C19:C27)</f>
        <v>0</v>
      </c>
      <c r="D18" s="80">
        <f t="shared" si="3"/>
        <v>1603386.9988000002</v>
      </c>
      <c r="E18" s="80">
        <f t="shared" si="3"/>
        <v>115583.03</v>
      </c>
      <c r="F18" s="80">
        <f t="shared" si="3"/>
        <v>115583.03</v>
      </c>
      <c r="G18" s="80">
        <f>SUM(G19:G27)</f>
        <v>1487803.9687999999</v>
      </c>
    </row>
    <row r="19" spans="1:7" x14ac:dyDescent="0.25">
      <c r="A19" s="84" t="s">
        <v>295</v>
      </c>
      <c r="B19" s="80">
        <v>656208.36</v>
      </c>
      <c r="C19" s="80">
        <v>0</v>
      </c>
      <c r="D19" s="80">
        <v>656208.36</v>
      </c>
      <c r="E19" s="80">
        <v>69118.75</v>
      </c>
      <c r="F19" s="80">
        <v>69118.75</v>
      </c>
      <c r="G19" s="80">
        <f>D19-E19</f>
        <v>587089.61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221524.03879999998</v>
      </c>
      <c r="C22" s="80">
        <v>0</v>
      </c>
      <c r="D22" s="80">
        <v>221524.03879999998</v>
      </c>
      <c r="E22" s="80">
        <v>15838.310000000001</v>
      </c>
      <c r="F22" s="80">
        <v>15838.310000000001</v>
      </c>
      <c r="G22" s="80">
        <f t="shared" si="4"/>
        <v>205685.72879999998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522000</v>
      </c>
      <c r="C24" s="80">
        <v>0</v>
      </c>
      <c r="D24" s="80">
        <v>522000</v>
      </c>
      <c r="E24" s="80">
        <v>27730.969999999998</v>
      </c>
      <c r="F24" s="80">
        <v>27730.969999999998</v>
      </c>
      <c r="G24" s="80">
        <f t="shared" si="4"/>
        <v>494269.03</v>
      </c>
    </row>
    <row r="25" spans="1:7" x14ac:dyDescent="0.25">
      <c r="A25" s="84" t="s">
        <v>301</v>
      </c>
      <c r="B25" s="80">
        <v>60074</v>
      </c>
      <c r="C25" s="80">
        <v>0</v>
      </c>
      <c r="D25" s="80">
        <v>60074</v>
      </c>
      <c r="E25" s="80">
        <v>0</v>
      </c>
      <c r="F25" s="80">
        <v>0</v>
      </c>
      <c r="G25" s="80">
        <f t="shared" si="4"/>
        <v>60074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143580.59999999998</v>
      </c>
      <c r="C27" s="80">
        <v>0</v>
      </c>
      <c r="D27" s="80">
        <v>143580.59999999998</v>
      </c>
      <c r="E27" s="80">
        <v>2895</v>
      </c>
      <c r="F27" s="80">
        <v>2895</v>
      </c>
      <c r="G27" s="80">
        <f t="shared" si="4"/>
        <v>140685.59999999998</v>
      </c>
    </row>
    <row r="28" spans="1:7" x14ac:dyDescent="0.25">
      <c r="A28" s="83" t="s">
        <v>304</v>
      </c>
      <c r="B28" s="80">
        <f>SUM(B29:B37)</f>
        <v>12869108.804500001</v>
      </c>
      <c r="C28" s="80">
        <f t="shared" ref="C28:G28" si="5">SUM(C29:C37)</f>
        <v>718043</v>
      </c>
      <c r="D28" s="80">
        <f t="shared" si="5"/>
        <v>13587151.804500001</v>
      </c>
      <c r="E28" s="80">
        <f t="shared" si="5"/>
        <v>562184.18999999994</v>
      </c>
      <c r="F28" s="80">
        <f t="shared" si="5"/>
        <v>514650.18999999994</v>
      </c>
      <c r="G28" s="80">
        <f t="shared" si="5"/>
        <v>13024967.614500001</v>
      </c>
    </row>
    <row r="29" spans="1:7" x14ac:dyDescent="0.25">
      <c r="A29" s="84" t="s">
        <v>305</v>
      </c>
      <c r="B29" s="80">
        <v>369610.39999999997</v>
      </c>
      <c r="C29" s="80">
        <v>381.25</v>
      </c>
      <c r="D29" s="80">
        <v>369991.64999999997</v>
      </c>
      <c r="E29" s="80">
        <v>63677.25</v>
      </c>
      <c r="F29" s="80">
        <v>63677.25</v>
      </c>
      <c r="G29" s="80">
        <f>D29-E29</f>
        <v>306314.39999999997</v>
      </c>
    </row>
    <row r="30" spans="1:7" x14ac:dyDescent="0.25">
      <c r="A30" s="84" t="s">
        <v>306</v>
      </c>
      <c r="B30" s="80">
        <v>15659.999999999998</v>
      </c>
      <c r="C30" s="80">
        <v>5440.4</v>
      </c>
      <c r="D30" s="80">
        <v>21100.399999999998</v>
      </c>
      <c r="E30" s="80">
        <v>6314.2199999999993</v>
      </c>
      <c r="F30" s="80">
        <v>6314.2199999999993</v>
      </c>
      <c r="G30" s="80">
        <f t="shared" ref="G30:G37" si="6">D30-E30</f>
        <v>14786.179999999998</v>
      </c>
    </row>
    <row r="31" spans="1:7" x14ac:dyDescent="0.25">
      <c r="A31" s="84" t="s">
        <v>307</v>
      </c>
      <c r="B31" s="80">
        <v>4736206</v>
      </c>
      <c r="C31" s="80">
        <v>-77825.78</v>
      </c>
      <c r="D31" s="80">
        <v>4658380.22</v>
      </c>
      <c r="E31" s="80">
        <v>101991.75</v>
      </c>
      <c r="F31" s="80">
        <v>101991.75</v>
      </c>
      <c r="G31" s="80">
        <f t="shared" si="6"/>
        <v>4556388.47</v>
      </c>
    </row>
    <row r="32" spans="1:7" x14ac:dyDescent="0.25">
      <c r="A32" s="84" t="s">
        <v>308</v>
      </c>
      <c r="B32" s="80">
        <v>235272.3345</v>
      </c>
      <c r="C32" s="80">
        <v>0</v>
      </c>
      <c r="D32" s="80">
        <v>235272.3345</v>
      </c>
      <c r="E32" s="80">
        <v>42139.310000000005</v>
      </c>
      <c r="F32" s="80">
        <v>42139.310000000005</v>
      </c>
      <c r="G32" s="80">
        <f t="shared" si="6"/>
        <v>193133.0245</v>
      </c>
    </row>
    <row r="33" spans="1:7" x14ac:dyDescent="0.25">
      <c r="A33" s="84" t="s">
        <v>309</v>
      </c>
      <c r="B33" s="80">
        <v>204685.03999999998</v>
      </c>
      <c r="C33" s="80">
        <v>144617.84</v>
      </c>
      <c r="D33" s="80">
        <v>349302.88</v>
      </c>
      <c r="E33" s="80">
        <v>109592.43</v>
      </c>
      <c r="F33" s="80">
        <v>109592.43</v>
      </c>
      <c r="G33" s="80">
        <f t="shared" si="6"/>
        <v>239710.45</v>
      </c>
    </row>
    <row r="34" spans="1:7" x14ac:dyDescent="0.25">
      <c r="A34" s="84" t="s">
        <v>310</v>
      </c>
      <c r="B34" s="80">
        <v>482593.04</v>
      </c>
      <c r="C34" s="80">
        <v>-72613.710000000006</v>
      </c>
      <c r="D34" s="80">
        <v>409979.32999999996</v>
      </c>
      <c r="E34" s="80">
        <v>0</v>
      </c>
      <c r="F34" s="80">
        <v>0</v>
      </c>
      <c r="G34" s="80">
        <f t="shared" si="6"/>
        <v>409979.32999999996</v>
      </c>
    </row>
    <row r="35" spans="1:7" x14ac:dyDescent="0.25">
      <c r="A35" s="84" t="s">
        <v>311</v>
      </c>
      <c r="B35" s="80">
        <v>166566</v>
      </c>
      <c r="C35" s="80">
        <v>0</v>
      </c>
      <c r="D35" s="80">
        <v>166566</v>
      </c>
      <c r="E35" s="80">
        <v>2264</v>
      </c>
      <c r="F35" s="80">
        <v>2264</v>
      </c>
      <c r="G35" s="80">
        <f t="shared" si="6"/>
        <v>164302</v>
      </c>
    </row>
    <row r="36" spans="1:7" x14ac:dyDescent="0.25">
      <c r="A36" s="84" t="s">
        <v>312</v>
      </c>
      <c r="B36" s="80">
        <v>5897469.5700000003</v>
      </c>
      <c r="C36" s="80">
        <v>718043</v>
      </c>
      <c r="D36" s="80">
        <v>6615512.5700000003</v>
      </c>
      <c r="E36" s="80">
        <v>97335.219999999987</v>
      </c>
      <c r="F36" s="80">
        <v>97335.219999999987</v>
      </c>
      <c r="G36" s="80">
        <f t="shared" si="6"/>
        <v>6518177.3500000006</v>
      </c>
    </row>
    <row r="37" spans="1:7" x14ac:dyDescent="0.25">
      <c r="A37" s="84" t="s">
        <v>313</v>
      </c>
      <c r="B37" s="80">
        <v>761046.42</v>
      </c>
      <c r="C37" s="80">
        <v>0</v>
      </c>
      <c r="D37" s="80">
        <v>761046.42</v>
      </c>
      <c r="E37" s="80">
        <v>138870.01</v>
      </c>
      <c r="F37" s="80">
        <v>91336.010000000009</v>
      </c>
      <c r="G37" s="80">
        <f t="shared" si="6"/>
        <v>622176.41</v>
      </c>
    </row>
    <row r="38" spans="1:7" x14ac:dyDescent="0.25">
      <c r="A38" s="83" t="s">
        <v>314</v>
      </c>
      <c r="B38" s="80">
        <f>SUM(B39:B47)</f>
        <v>200000</v>
      </c>
      <c r="C38" s="80">
        <f t="shared" ref="C38:G38" si="7">SUM(C39:C47)</f>
        <v>0</v>
      </c>
      <c r="D38" s="80">
        <f t="shared" si="7"/>
        <v>200000</v>
      </c>
      <c r="E38" s="80">
        <f t="shared" si="7"/>
        <v>0</v>
      </c>
      <c r="F38" s="80">
        <f t="shared" si="7"/>
        <v>0</v>
      </c>
      <c r="G38" s="80">
        <f t="shared" si="7"/>
        <v>200000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200000</v>
      </c>
      <c r="C42" s="80">
        <v>0</v>
      </c>
      <c r="D42" s="80">
        <v>200000</v>
      </c>
      <c r="E42" s="80">
        <v>0</v>
      </c>
      <c r="F42" s="80">
        <v>0</v>
      </c>
      <c r="G42" s="80">
        <f t="shared" si="8"/>
        <v>200000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742321</v>
      </c>
      <c r="C48" s="80">
        <f t="shared" ref="C48:G48" si="9">SUM(C49:C57)</f>
        <v>0</v>
      </c>
      <c r="D48" s="80">
        <f t="shared" si="9"/>
        <v>742321</v>
      </c>
      <c r="E48" s="80">
        <f t="shared" si="9"/>
        <v>171011.84</v>
      </c>
      <c r="F48" s="80">
        <f t="shared" si="9"/>
        <v>171011.84</v>
      </c>
      <c r="G48" s="80">
        <f t="shared" si="9"/>
        <v>571309.16</v>
      </c>
    </row>
    <row r="49" spans="1:7" x14ac:dyDescent="0.25">
      <c r="A49" s="84" t="s">
        <v>325</v>
      </c>
      <c r="B49" s="80">
        <v>10000</v>
      </c>
      <c r="C49" s="80">
        <v>0</v>
      </c>
      <c r="D49" s="80">
        <v>10000</v>
      </c>
      <c r="E49" s="80">
        <v>0</v>
      </c>
      <c r="F49" s="80">
        <v>0</v>
      </c>
      <c r="G49" s="80">
        <f>D49-E49</f>
        <v>10000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22321</v>
      </c>
      <c r="C54" s="80">
        <v>0</v>
      </c>
      <c r="D54" s="80">
        <v>22321</v>
      </c>
      <c r="E54" s="80">
        <v>0</v>
      </c>
      <c r="F54" s="80">
        <v>0</v>
      </c>
      <c r="G54" s="80">
        <f t="shared" si="10"/>
        <v>22321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710000</v>
      </c>
      <c r="C57" s="80">
        <v>0</v>
      </c>
      <c r="D57" s="80">
        <v>710000</v>
      </c>
      <c r="E57" s="80">
        <v>171011.84</v>
      </c>
      <c r="F57" s="80">
        <v>171011.84</v>
      </c>
      <c r="G57" s="80">
        <f t="shared" si="10"/>
        <v>538988.16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47283526.803300001</v>
      </c>
      <c r="C159" s="79">
        <f t="shared" ref="C159:G159" si="38">C9+C84</f>
        <v>718043</v>
      </c>
      <c r="D159" s="79">
        <f t="shared" si="38"/>
        <v>48001569.803300001</v>
      </c>
      <c r="E159" s="79">
        <f t="shared" si="38"/>
        <v>7141467.9499999993</v>
      </c>
      <c r="F159" s="79">
        <f t="shared" si="38"/>
        <v>6938706.6799999997</v>
      </c>
      <c r="G159" s="79">
        <f t="shared" si="38"/>
        <v>40860101.853299998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47283526.803300001</v>
      </c>
      <c r="Q2" s="18">
        <f>'Formato 6 a)'!C9</f>
        <v>718043</v>
      </c>
      <c r="R2" s="18">
        <f>'Formato 6 a)'!D9</f>
        <v>48001569.803300001</v>
      </c>
      <c r="S2" s="18">
        <f>'Formato 6 a)'!E9</f>
        <v>7141467.9499999993</v>
      </c>
      <c r="T2" s="18">
        <f>'Formato 6 a)'!F9</f>
        <v>6938706.6799999997</v>
      </c>
      <c r="U2" s="18">
        <f>'Formato 6 a)'!G9</f>
        <v>40860101.853299998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31868710</v>
      </c>
      <c r="Q3" s="18">
        <f>'Formato 6 a)'!C10</f>
        <v>0</v>
      </c>
      <c r="R3" s="18">
        <f>'Formato 6 a)'!D10</f>
        <v>31868710</v>
      </c>
      <c r="S3" s="18">
        <f>'Formato 6 a)'!E10</f>
        <v>6292688.8899999987</v>
      </c>
      <c r="T3" s="18">
        <f>'Formato 6 a)'!F10</f>
        <v>6137461.6199999992</v>
      </c>
      <c r="U3" s="18">
        <f>'Formato 6 a)'!G10</f>
        <v>25576021.109999999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18788251.890000001</v>
      </c>
      <c r="Q4" s="18">
        <f>'Formato 6 a)'!C11</f>
        <v>0</v>
      </c>
      <c r="R4" s="18">
        <f>'Formato 6 a)'!D11</f>
        <v>18788251.890000001</v>
      </c>
      <c r="S4" s="18">
        <f>'Formato 6 a)'!E11</f>
        <v>3821895.46</v>
      </c>
      <c r="T4" s="18">
        <f>'Formato 6 a)'!F11</f>
        <v>3821895.46</v>
      </c>
      <c r="U4" s="18">
        <f>'Formato 6 a)'!G11</f>
        <v>14966356.43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3595310.63</v>
      </c>
      <c r="Q6" s="18">
        <f>'Formato 6 a)'!C13</f>
        <v>0</v>
      </c>
      <c r="R6" s="18">
        <f>'Formato 6 a)'!D13</f>
        <v>3595310.63</v>
      </c>
      <c r="S6" s="18">
        <f>'Formato 6 a)'!E13</f>
        <v>393165.89000000007</v>
      </c>
      <c r="T6" s="18">
        <f>'Formato 6 a)'!F13</f>
        <v>393165.89000000007</v>
      </c>
      <c r="U6" s="18">
        <f>'Formato 6 a)'!G13</f>
        <v>3202144.7399999998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4567860.5600000005</v>
      </c>
      <c r="Q7" s="18">
        <f>'Formato 6 a)'!C14</f>
        <v>0</v>
      </c>
      <c r="R7" s="18">
        <f>'Formato 6 a)'!D14</f>
        <v>4567860.5600000005</v>
      </c>
      <c r="S7" s="18">
        <f>'Formato 6 a)'!E14</f>
        <v>803190.1</v>
      </c>
      <c r="T7" s="18">
        <f>'Formato 6 a)'!F14</f>
        <v>647962.82999999996</v>
      </c>
      <c r="U7" s="18">
        <f>'Formato 6 a)'!G14</f>
        <v>3764670.4600000004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4917286.92</v>
      </c>
      <c r="Q8" s="18">
        <f>'Formato 6 a)'!C15</f>
        <v>0</v>
      </c>
      <c r="R8" s="18">
        <f>'Formato 6 a)'!D15</f>
        <v>4917286.92</v>
      </c>
      <c r="S8" s="18">
        <f>'Formato 6 a)'!E15</f>
        <v>1274437.44</v>
      </c>
      <c r="T8" s="18">
        <f>'Formato 6 a)'!F15</f>
        <v>1274437.44</v>
      </c>
      <c r="U8" s="18">
        <f>'Formato 6 a)'!G15</f>
        <v>3642849.48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1603386.9988000002</v>
      </c>
      <c r="Q11" s="18">
        <f>'Formato 6 a)'!C18</f>
        <v>0</v>
      </c>
      <c r="R11" s="18">
        <f>'Formato 6 a)'!D18</f>
        <v>1603386.9988000002</v>
      </c>
      <c r="S11" s="18">
        <f>'Formato 6 a)'!E18</f>
        <v>115583.03</v>
      </c>
      <c r="T11" s="18">
        <f>'Formato 6 a)'!F18</f>
        <v>115583.03</v>
      </c>
      <c r="U11" s="18">
        <f>'Formato 6 a)'!G18</f>
        <v>1487803.9687999999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656208.36</v>
      </c>
      <c r="Q12" s="18">
        <f>'Formato 6 a)'!C19</f>
        <v>0</v>
      </c>
      <c r="R12" s="18">
        <f>'Formato 6 a)'!D19</f>
        <v>656208.36</v>
      </c>
      <c r="S12" s="18">
        <f>'Formato 6 a)'!E19</f>
        <v>69118.75</v>
      </c>
      <c r="T12" s="18">
        <f>'Formato 6 a)'!F19</f>
        <v>69118.75</v>
      </c>
      <c r="U12" s="18">
        <f>'Formato 6 a)'!G19</f>
        <v>587089.61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221524.03879999998</v>
      </c>
      <c r="Q15" s="18">
        <f>'Formato 6 a)'!C22</f>
        <v>0</v>
      </c>
      <c r="R15" s="18">
        <f>'Formato 6 a)'!D22</f>
        <v>221524.03879999998</v>
      </c>
      <c r="S15" s="18">
        <f>'Formato 6 a)'!E22</f>
        <v>15838.310000000001</v>
      </c>
      <c r="T15" s="18">
        <f>'Formato 6 a)'!F22</f>
        <v>15838.310000000001</v>
      </c>
      <c r="U15" s="18">
        <f>'Formato 6 a)'!G22</f>
        <v>205685.72879999998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522000</v>
      </c>
      <c r="Q17" s="18">
        <f>'Formato 6 a)'!C24</f>
        <v>0</v>
      </c>
      <c r="R17" s="18">
        <f>'Formato 6 a)'!D24</f>
        <v>522000</v>
      </c>
      <c r="S17" s="18">
        <f>'Formato 6 a)'!E24</f>
        <v>27730.969999999998</v>
      </c>
      <c r="T17" s="18">
        <f>'Formato 6 a)'!F24</f>
        <v>27730.969999999998</v>
      </c>
      <c r="U17" s="18">
        <f>'Formato 6 a)'!G24</f>
        <v>494269.03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60074</v>
      </c>
      <c r="Q18" s="18">
        <f>'Formato 6 a)'!C25</f>
        <v>0</v>
      </c>
      <c r="R18" s="18">
        <f>'Formato 6 a)'!D25</f>
        <v>60074</v>
      </c>
      <c r="S18" s="18">
        <f>'Formato 6 a)'!E25</f>
        <v>0</v>
      </c>
      <c r="T18" s="18">
        <f>'Formato 6 a)'!F25</f>
        <v>0</v>
      </c>
      <c r="U18" s="18">
        <f>'Formato 6 a)'!G25</f>
        <v>60074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143580.59999999998</v>
      </c>
      <c r="Q20" s="18">
        <f>'Formato 6 a)'!C27</f>
        <v>0</v>
      </c>
      <c r="R20" s="18">
        <f>'Formato 6 a)'!D27</f>
        <v>143580.59999999998</v>
      </c>
      <c r="S20" s="18">
        <f>'Formato 6 a)'!E27</f>
        <v>2895</v>
      </c>
      <c r="T20" s="18">
        <f>'Formato 6 a)'!F27</f>
        <v>2895</v>
      </c>
      <c r="U20" s="18">
        <f>'Formato 6 a)'!G27</f>
        <v>140685.59999999998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12869108.804500001</v>
      </c>
      <c r="Q21" s="18">
        <f>'Formato 6 a)'!C28</f>
        <v>718043</v>
      </c>
      <c r="R21" s="18">
        <f>'Formato 6 a)'!D28</f>
        <v>13587151.804500001</v>
      </c>
      <c r="S21" s="18">
        <f>'Formato 6 a)'!E28</f>
        <v>562184.18999999994</v>
      </c>
      <c r="T21" s="18">
        <f>'Formato 6 a)'!F28</f>
        <v>514650.18999999994</v>
      </c>
      <c r="U21" s="18">
        <f>'Formato 6 a)'!G28</f>
        <v>13024967.614500001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369610.39999999997</v>
      </c>
      <c r="Q22" s="18">
        <f>'Formato 6 a)'!C29</f>
        <v>381.25</v>
      </c>
      <c r="R22" s="18">
        <f>'Formato 6 a)'!D29</f>
        <v>369991.64999999997</v>
      </c>
      <c r="S22" s="18">
        <f>'Formato 6 a)'!E29</f>
        <v>63677.25</v>
      </c>
      <c r="T22" s="18">
        <f>'Formato 6 a)'!F29</f>
        <v>63677.25</v>
      </c>
      <c r="U22" s="18">
        <f>'Formato 6 a)'!G29</f>
        <v>306314.39999999997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15659.999999999998</v>
      </c>
      <c r="Q23" s="18">
        <f>'Formato 6 a)'!C30</f>
        <v>5440.4</v>
      </c>
      <c r="R23" s="18">
        <f>'Formato 6 a)'!D30</f>
        <v>21100.399999999998</v>
      </c>
      <c r="S23" s="18">
        <f>'Formato 6 a)'!E30</f>
        <v>6314.2199999999993</v>
      </c>
      <c r="T23" s="18">
        <f>'Formato 6 a)'!F30</f>
        <v>6314.2199999999993</v>
      </c>
      <c r="U23" s="18">
        <f>'Formato 6 a)'!G30</f>
        <v>14786.179999999998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4736206</v>
      </c>
      <c r="Q24" s="18">
        <f>'Formato 6 a)'!C31</f>
        <v>-77825.78</v>
      </c>
      <c r="R24" s="18">
        <f>'Formato 6 a)'!D31</f>
        <v>4658380.22</v>
      </c>
      <c r="S24" s="18">
        <f>'Formato 6 a)'!E31</f>
        <v>101991.75</v>
      </c>
      <c r="T24" s="18">
        <f>'Formato 6 a)'!F31</f>
        <v>101991.75</v>
      </c>
      <c r="U24" s="18">
        <f>'Formato 6 a)'!G31</f>
        <v>4556388.47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235272.3345</v>
      </c>
      <c r="Q25" s="18">
        <f>'Formato 6 a)'!C32</f>
        <v>0</v>
      </c>
      <c r="R25" s="18">
        <f>'Formato 6 a)'!D32</f>
        <v>235272.3345</v>
      </c>
      <c r="S25" s="18">
        <f>'Formato 6 a)'!E32</f>
        <v>42139.310000000005</v>
      </c>
      <c r="T25" s="18">
        <f>'Formato 6 a)'!F32</f>
        <v>42139.310000000005</v>
      </c>
      <c r="U25" s="18">
        <f>'Formato 6 a)'!G32</f>
        <v>193133.0245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204685.03999999998</v>
      </c>
      <c r="Q26" s="18">
        <f>'Formato 6 a)'!C33</f>
        <v>144617.84</v>
      </c>
      <c r="R26" s="18">
        <f>'Formato 6 a)'!D33</f>
        <v>349302.88</v>
      </c>
      <c r="S26" s="18">
        <f>'Formato 6 a)'!E33</f>
        <v>109592.43</v>
      </c>
      <c r="T26" s="18">
        <f>'Formato 6 a)'!F33</f>
        <v>109592.43</v>
      </c>
      <c r="U26" s="18">
        <f>'Formato 6 a)'!G33</f>
        <v>239710.45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482593.04</v>
      </c>
      <c r="Q27" s="18">
        <f>'Formato 6 a)'!C34</f>
        <v>-72613.710000000006</v>
      </c>
      <c r="R27" s="18">
        <f>'Formato 6 a)'!D34</f>
        <v>409979.32999999996</v>
      </c>
      <c r="S27" s="18">
        <f>'Formato 6 a)'!E34</f>
        <v>0</v>
      </c>
      <c r="T27" s="18">
        <f>'Formato 6 a)'!F34</f>
        <v>0</v>
      </c>
      <c r="U27" s="18">
        <f>'Formato 6 a)'!G34</f>
        <v>409979.32999999996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166566</v>
      </c>
      <c r="Q28" s="18">
        <f>'Formato 6 a)'!C35</f>
        <v>0</v>
      </c>
      <c r="R28" s="18">
        <f>'Formato 6 a)'!D35</f>
        <v>166566</v>
      </c>
      <c r="S28" s="18">
        <f>'Formato 6 a)'!E35</f>
        <v>2264</v>
      </c>
      <c r="T28" s="18">
        <f>'Formato 6 a)'!F35</f>
        <v>2264</v>
      </c>
      <c r="U28" s="18">
        <f>'Formato 6 a)'!G35</f>
        <v>164302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5897469.5700000003</v>
      </c>
      <c r="Q29" s="18">
        <f>'Formato 6 a)'!C36</f>
        <v>718043</v>
      </c>
      <c r="R29" s="18">
        <f>'Formato 6 a)'!D36</f>
        <v>6615512.5700000003</v>
      </c>
      <c r="S29" s="18">
        <f>'Formato 6 a)'!E36</f>
        <v>97335.219999999987</v>
      </c>
      <c r="T29" s="18">
        <f>'Formato 6 a)'!F36</f>
        <v>97335.219999999987</v>
      </c>
      <c r="U29" s="18">
        <f>'Formato 6 a)'!G36</f>
        <v>6518177.3500000006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761046.42</v>
      </c>
      <c r="Q30" s="18">
        <f>'Formato 6 a)'!C37</f>
        <v>0</v>
      </c>
      <c r="R30" s="18">
        <f>'Formato 6 a)'!D37</f>
        <v>761046.42</v>
      </c>
      <c r="S30" s="18">
        <f>'Formato 6 a)'!E37</f>
        <v>138870.01</v>
      </c>
      <c r="T30" s="18">
        <f>'Formato 6 a)'!F37</f>
        <v>91336.010000000009</v>
      </c>
      <c r="U30" s="18">
        <f>'Formato 6 a)'!G37</f>
        <v>622176.41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200000</v>
      </c>
      <c r="Q31" s="18">
        <f>'Formato 6 a)'!C38</f>
        <v>0</v>
      </c>
      <c r="R31" s="18">
        <f>'Formato 6 a)'!D38</f>
        <v>200000</v>
      </c>
      <c r="S31" s="18">
        <f>'Formato 6 a)'!E38</f>
        <v>0</v>
      </c>
      <c r="T31" s="18">
        <f>'Formato 6 a)'!F38</f>
        <v>0</v>
      </c>
      <c r="U31" s="18">
        <f>'Formato 6 a)'!G38</f>
        <v>200000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200000</v>
      </c>
      <c r="Q35" s="18">
        <f>'Formato 6 a)'!C42</f>
        <v>0</v>
      </c>
      <c r="R35" s="18">
        <f>'Formato 6 a)'!D42</f>
        <v>200000</v>
      </c>
      <c r="S35" s="18">
        <f>'Formato 6 a)'!E42</f>
        <v>0</v>
      </c>
      <c r="T35" s="18">
        <f>'Formato 6 a)'!F42</f>
        <v>0</v>
      </c>
      <c r="U35" s="18">
        <f>'Formato 6 a)'!G42</f>
        <v>200000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742321</v>
      </c>
      <c r="Q41" s="18">
        <f>'Formato 6 a)'!C48</f>
        <v>0</v>
      </c>
      <c r="R41" s="18">
        <f>'Formato 6 a)'!D48</f>
        <v>742321</v>
      </c>
      <c r="S41" s="18">
        <f>'Formato 6 a)'!E48</f>
        <v>171011.84</v>
      </c>
      <c r="T41" s="18">
        <f>'Formato 6 a)'!F48</f>
        <v>171011.84</v>
      </c>
      <c r="U41" s="18">
        <f>'Formato 6 a)'!G48</f>
        <v>571309.16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10000</v>
      </c>
      <c r="Q42" s="18">
        <f>'Formato 6 a)'!C49</f>
        <v>0</v>
      </c>
      <c r="R42" s="18">
        <f>'Formato 6 a)'!D49</f>
        <v>10000</v>
      </c>
      <c r="S42" s="18">
        <f>'Formato 6 a)'!E49</f>
        <v>0</v>
      </c>
      <c r="T42" s="18">
        <f>'Formato 6 a)'!F49</f>
        <v>0</v>
      </c>
      <c r="U42" s="18">
        <f>'Formato 6 a)'!G49</f>
        <v>10000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22321</v>
      </c>
      <c r="Q47" s="18">
        <f>'Formato 6 a)'!C54</f>
        <v>0</v>
      </c>
      <c r="R47" s="18">
        <f>'Formato 6 a)'!D54</f>
        <v>22321</v>
      </c>
      <c r="S47" s="18">
        <f>'Formato 6 a)'!E54</f>
        <v>0</v>
      </c>
      <c r="T47" s="18">
        <f>'Formato 6 a)'!F54</f>
        <v>0</v>
      </c>
      <c r="U47" s="18">
        <f>'Formato 6 a)'!G54</f>
        <v>22321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710000</v>
      </c>
      <c r="Q50" s="18">
        <f>'Formato 6 a)'!C57</f>
        <v>0</v>
      </c>
      <c r="R50" s="18">
        <f>'Formato 6 a)'!D57</f>
        <v>710000</v>
      </c>
      <c r="S50" s="18">
        <f>'Formato 6 a)'!E57</f>
        <v>171011.84</v>
      </c>
      <c r="T50" s="18">
        <f>'Formato 6 a)'!F57</f>
        <v>171011.84</v>
      </c>
      <c r="U50" s="18">
        <f>'Formato 6 a)'!G57</f>
        <v>538988.16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47283526.803300001</v>
      </c>
      <c r="Q150">
        <f>'Formato 6 a)'!C159</f>
        <v>718043</v>
      </c>
      <c r="R150">
        <f>'Formato 6 a)'!D159</f>
        <v>48001569.803300001</v>
      </c>
      <c r="S150">
        <f>'Formato 6 a)'!E159</f>
        <v>7141467.9499999993</v>
      </c>
      <c r="T150">
        <f>'Formato 6 a)'!F159</f>
        <v>6938706.6799999997</v>
      </c>
      <c r="U150">
        <f>'Formato 6 a)'!G159</f>
        <v>40860101.853299998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C10" sqref="C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47283526.803300001</v>
      </c>
      <c r="C9" s="59">
        <f>SUM(C10:GASTO_NE_FIN_02)</f>
        <v>718043</v>
      </c>
      <c r="D9" s="59">
        <f>SUM(D10:GASTO_NE_FIN_03)</f>
        <v>48001569.803300001</v>
      </c>
      <c r="E9" s="59">
        <f>SUM(E10:GASTO_NE_FIN_04)</f>
        <v>7141467.950000002</v>
      </c>
      <c r="F9" s="59">
        <f>SUM(F10:GASTO_NE_FIN_05)</f>
        <v>6938706.6800000025</v>
      </c>
      <c r="G9" s="59">
        <f>SUM(G10:GASTO_NE_FIN_06)</f>
        <v>40860101.853299998</v>
      </c>
    </row>
    <row r="10" spans="1:7" s="24" customFormat="1" x14ac:dyDescent="0.25">
      <c r="A10" s="144" t="s">
        <v>3303</v>
      </c>
      <c r="B10" s="60">
        <v>47283526.803300001</v>
      </c>
      <c r="C10" s="60">
        <v>718043</v>
      </c>
      <c r="D10" s="60">
        <v>48001569.803300001</v>
      </c>
      <c r="E10" s="60">
        <v>7141467.950000002</v>
      </c>
      <c r="F10" s="60">
        <v>6938706.6800000025</v>
      </c>
      <c r="G10" s="77">
        <f>D10-E10</f>
        <v>40860101.853299998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47283526.803300001</v>
      </c>
      <c r="C29" s="61">
        <f>GASTO_NE_T2+GASTO_E_T2</f>
        <v>718043</v>
      </c>
      <c r="D29" s="61">
        <f>GASTO_NE_T3+GASTO_E_T3</f>
        <v>48001569.803300001</v>
      </c>
      <c r="E29" s="61">
        <f>GASTO_NE_T4+GASTO_E_T4</f>
        <v>7141467.950000002</v>
      </c>
      <c r="F29" s="61">
        <f>GASTO_NE_T5+GASTO_E_T5</f>
        <v>6938706.6800000025</v>
      </c>
      <c r="G29" s="61">
        <f>GASTO_NE_T6+GASTO_E_T6</f>
        <v>40860101.853299998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47283526.803300001</v>
      </c>
      <c r="Q2" s="18">
        <f>GASTO_NE_T2</f>
        <v>718043</v>
      </c>
      <c r="R2" s="18">
        <f>GASTO_NE_T3</f>
        <v>48001569.803300001</v>
      </c>
      <c r="S2" s="18">
        <f>GASTO_NE_T4</f>
        <v>7141467.950000002</v>
      </c>
      <c r="T2" s="18">
        <f>GASTO_NE_T5</f>
        <v>6938706.6800000025</v>
      </c>
      <c r="U2" s="18">
        <f>GASTO_NE_T6</f>
        <v>40860101.853299998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47283526.803300001</v>
      </c>
      <c r="Q4" s="18">
        <f>TOTAL_E_T2</f>
        <v>718043</v>
      </c>
      <c r="R4" s="18">
        <f>TOTAL_E_T3</f>
        <v>48001569.803300001</v>
      </c>
      <c r="S4" s="18">
        <f>TOTAL_E_T4</f>
        <v>7141467.950000002</v>
      </c>
      <c r="T4" s="18">
        <f>TOTAL_E_T5</f>
        <v>6938706.6800000025</v>
      </c>
      <c r="U4" s="18">
        <f>TOTAL_E_T6</f>
        <v>40860101.853299998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47283526.803300001</v>
      </c>
      <c r="C9" s="70">
        <f t="shared" ref="C9:G9" si="0">SUM(C10,C19,C27,C37)</f>
        <v>718043</v>
      </c>
      <c r="D9" s="70">
        <f t="shared" si="0"/>
        <v>48001569.803300001</v>
      </c>
      <c r="E9" s="70">
        <f t="shared" si="0"/>
        <v>7141467.9500000002</v>
      </c>
      <c r="F9" s="70">
        <f t="shared" si="0"/>
        <v>6938706.6799999997</v>
      </c>
      <c r="G9" s="70">
        <f t="shared" si="0"/>
        <v>40860101.853299998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47283526.803300001</v>
      </c>
      <c r="C19" s="71">
        <f t="shared" ref="C19:F19" si="3">SUM(C20:C26)</f>
        <v>718043</v>
      </c>
      <c r="D19" s="71">
        <f t="shared" si="3"/>
        <v>48001569.803300001</v>
      </c>
      <c r="E19" s="71">
        <f t="shared" si="3"/>
        <v>7141467.9500000002</v>
      </c>
      <c r="F19" s="71">
        <f t="shared" si="3"/>
        <v>6938706.6799999997</v>
      </c>
      <c r="G19" s="71">
        <f>SUM(G20:G26)</f>
        <v>40860101.853299998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47283526.803300001</v>
      </c>
      <c r="C26" s="71">
        <v>718043</v>
      </c>
      <c r="D26" s="71">
        <v>48001569.803300001</v>
      </c>
      <c r="E26" s="71">
        <v>7141467.9500000002</v>
      </c>
      <c r="F26" s="71">
        <v>6938706.6799999997</v>
      </c>
      <c r="G26" s="72">
        <f t="shared" si="4"/>
        <v>40860101.853299998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47283526.803300001</v>
      </c>
      <c r="C77" s="73">
        <f t="shared" ref="C77:F77" si="18">C43+C9</f>
        <v>718043</v>
      </c>
      <c r="D77" s="73">
        <f t="shared" si="18"/>
        <v>48001569.803300001</v>
      </c>
      <c r="E77" s="73">
        <f t="shared" si="18"/>
        <v>7141467.9500000002</v>
      </c>
      <c r="F77" s="73">
        <f t="shared" si="18"/>
        <v>6938706.6799999997</v>
      </c>
      <c r="G77" s="73">
        <f>G43+G9</f>
        <v>40860101.853299998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47283526.803300001</v>
      </c>
      <c r="Q2" s="18">
        <f>'Formato 6 c)'!C9</f>
        <v>718043</v>
      </c>
      <c r="R2" s="18">
        <f>'Formato 6 c)'!D9</f>
        <v>48001569.803300001</v>
      </c>
      <c r="S2" s="18">
        <f>'Formato 6 c)'!E9</f>
        <v>7141467.9500000002</v>
      </c>
      <c r="T2" s="18">
        <f>'Formato 6 c)'!F9</f>
        <v>6938706.6799999997</v>
      </c>
      <c r="U2" s="18">
        <f>'Formato 6 c)'!G9</f>
        <v>40860101.853299998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47283526.803300001</v>
      </c>
      <c r="Q12" s="18">
        <f>'Formato 6 c)'!C19</f>
        <v>718043</v>
      </c>
      <c r="R12" s="18">
        <f>'Formato 6 c)'!D19</f>
        <v>48001569.803300001</v>
      </c>
      <c r="S12" s="18">
        <f>'Formato 6 c)'!E19</f>
        <v>7141467.9500000002</v>
      </c>
      <c r="T12" s="18">
        <f>'Formato 6 c)'!F19</f>
        <v>6938706.6799999997</v>
      </c>
      <c r="U12" s="18">
        <f>'Formato 6 c)'!G19</f>
        <v>40860101.853299998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47283526.803300001</v>
      </c>
      <c r="Q19" s="18">
        <f>'Formato 6 c)'!C26</f>
        <v>718043</v>
      </c>
      <c r="R19" s="18">
        <f>'Formato 6 c)'!D26</f>
        <v>48001569.803300001</v>
      </c>
      <c r="S19" s="18">
        <f>'Formato 6 c)'!E26</f>
        <v>7141467.9500000002</v>
      </c>
      <c r="T19" s="18">
        <f>'Formato 6 c)'!F26</f>
        <v>6938706.6799999997</v>
      </c>
      <c r="U19" s="18">
        <f>'Formato 6 c)'!G26</f>
        <v>40860101.853299998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47283526.803300001</v>
      </c>
      <c r="Q68" s="18">
        <f>'Formato 6 c)'!C77</f>
        <v>718043</v>
      </c>
      <c r="R68" s="18">
        <f>'Formato 6 c)'!D77</f>
        <v>48001569.803300001</v>
      </c>
      <c r="S68" s="18">
        <f>'Formato 6 c)'!E77</f>
        <v>7141467.9500000002</v>
      </c>
      <c r="T68" s="18">
        <f>'Formato 6 c)'!F77</f>
        <v>6938706.6799999997</v>
      </c>
      <c r="U68" s="18">
        <f>'Formato 6 c)'!G77</f>
        <v>40860101.853299998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3304</v>
      </c>
    </row>
    <row r="15" spans="2:3" ht="14.25" x14ac:dyDescent="0.45">
      <c r="C15" s="24">
        <v>1</v>
      </c>
    </row>
    <row r="16" spans="2:3" ht="14.25" x14ac:dyDescent="0.45">
      <c r="C16" s="24" t="s">
        <v>3305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B1" zoomScale="90" zoomScaleNormal="90" workbookViewId="0">
      <selection activeCell="XFD3" sqref="XFD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31868710</v>
      </c>
      <c r="C9" s="66">
        <f t="shared" ref="C9:F9" si="0">SUM(C10,C11,C12,C15,C16,C19)</f>
        <v>0</v>
      </c>
      <c r="D9" s="66">
        <f t="shared" si="0"/>
        <v>31868710</v>
      </c>
      <c r="E9" s="66">
        <f t="shared" si="0"/>
        <v>6292688.8899999987</v>
      </c>
      <c r="F9" s="66">
        <f t="shared" si="0"/>
        <v>6137461.6200000001</v>
      </c>
      <c r="G9" s="66">
        <f>SUM(G10,G11,G12,G15,G16,G19)</f>
        <v>25576021.109999999</v>
      </c>
    </row>
    <row r="10" spans="1:7" x14ac:dyDescent="0.25">
      <c r="A10" s="53" t="s">
        <v>401</v>
      </c>
      <c r="B10" s="67">
        <v>31868710</v>
      </c>
      <c r="C10" s="67">
        <v>0</v>
      </c>
      <c r="D10" s="67">
        <v>31868710</v>
      </c>
      <c r="E10" s="67">
        <v>6292688.8899999987</v>
      </c>
      <c r="F10" s="67">
        <v>6137461.6200000001</v>
      </c>
      <c r="G10" s="67">
        <f>D10-E10</f>
        <v>25576021.109999999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>C13+C14</f>
        <v>0</v>
      </c>
      <c r="D12" s="67">
        <f t="shared" ref="D12:F12" si="1"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31868710</v>
      </c>
      <c r="C33" s="66">
        <f t="shared" ref="C33:G33" si="9">C21+C9</f>
        <v>0</v>
      </c>
      <c r="D33" s="66">
        <f t="shared" si="9"/>
        <v>31868710</v>
      </c>
      <c r="E33" s="66">
        <f t="shared" si="9"/>
        <v>6292688.8899999987</v>
      </c>
      <c r="F33" s="66">
        <f t="shared" si="9"/>
        <v>6137461.6200000001</v>
      </c>
      <c r="G33" s="66">
        <f t="shared" si="9"/>
        <v>25576021.109999999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31868710</v>
      </c>
      <c r="Q2" s="18">
        <f>'Formato 6 d)'!C9</f>
        <v>0</v>
      </c>
      <c r="R2" s="18">
        <f>'Formato 6 d)'!D9</f>
        <v>31868710</v>
      </c>
      <c r="S2" s="18">
        <f>'Formato 6 d)'!E9</f>
        <v>6292688.8899999987</v>
      </c>
      <c r="T2" s="18">
        <f>'Formato 6 d)'!F9</f>
        <v>6137461.6200000001</v>
      </c>
      <c r="U2" s="18">
        <f>'Formato 6 d)'!G9</f>
        <v>25576021.109999999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31868710</v>
      </c>
      <c r="Q3" s="18">
        <f>'Formato 6 d)'!C10</f>
        <v>0</v>
      </c>
      <c r="R3" s="18">
        <f>'Formato 6 d)'!D10</f>
        <v>31868710</v>
      </c>
      <c r="S3" s="18">
        <f>'Formato 6 d)'!E10</f>
        <v>6292688.8899999987</v>
      </c>
      <c r="T3" s="18">
        <f>'Formato 6 d)'!F10</f>
        <v>6137461.6200000001</v>
      </c>
      <c r="U3" s="18">
        <f>'Formato 6 d)'!G10</f>
        <v>25576021.109999999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31868710</v>
      </c>
      <c r="Q24" s="18">
        <f>'Formato 6 d)'!C33</f>
        <v>0</v>
      </c>
      <c r="R24" s="18">
        <f>'Formato 6 d)'!D33</f>
        <v>31868710</v>
      </c>
      <c r="S24" s="18">
        <f>'Formato 6 d)'!E33</f>
        <v>6292688.8899999987</v>
      </c>
      <c r="T24" s="18">
        <f>'Formato 6 d)'!F33</f>
        <v>6137461.6200000001</v>
      </c>
      <c r="U24" s="18">
        <f>'Formato 6 d)'!G33</f>
        <v>25576021.109999999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11" zoomScale="85" zoomScaleNormal="85" zoomScalePageLayoutView="90" workbookViewId="0">
      <selection activeCell="F35" sqref="F3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4" zoomScale="90" zoomScaleNormal="90" workbookViewId="0">
      <selection activeCell="F22" sqref="F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27170765.4531</v>
      </c>
      <c r="D7" s="59">
        <f>SUM(D8:D19)</f>
        <v>39731245.240000002</v>
      </c>
      <c r="E7" s="59">
        <f t="shared" si="0"/>
        <v>38665751.423524529</v>
      </c>
      <c r="F7" s="59">
        <f t="shared" si="0"/>
        <v>45208837.842592865</v>
      </c>
      <c r="G7" s="59">
        <f t="shared" si="0"/>
        <v>48001569.803300001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27170765.4531</v>
      </c>
      <c r="D17" s="60">
        <v>39731245.240000002</v>
      </c>
      <c r="E17" s="60">
        <v>38665751.423524529</v>
      </c>
      <c r="F17" s="60">
        <v>45208837.842592865</v>
      </c>
      <c r="G17" s="60">
        <v>48001569.803300001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27170765.4531</v>
      </c>
      <c r="D31" s="61">
        <f t="shared" si="3"/>
        <v>39731245.240000002</v>
      </c>
      <c r="E31" s="61">
        <f t="shared" si="3"/>
        <v>38665751.423524529</v>
      </c>
      <c r="F31" s="61">
        <f t="shared" si="3"/>
        <v>45208837.842592865</v>
      </c>
      <c r="G31" s="61">
        <f t="shared" si="3"/>
        <v>48001569.803300001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27170765.4531</v>
      </c>
      <c r="R2" s="18">
        <f>'Formato 7 c)'!D7</f>
        <v>39731245.240000002</v>
      </c>
      <c r="S2" s="18">
        <f>'Formato 7 c)'!E7</f>
        <v>38665751.423524529</v>
      </c>
      <c r="T2" s="18">
        <f>'Formato 7 c)'!F7</f>
        <v>45208837.842592865</v>
      </c>
      <c r="U2" s="18">
        <f>'Formato 7 c)'!G7</f>
        <v>48001569.803300001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27170765.4531</v>
      </c>
      <c r="R12" s="18">
        <f>'Formato 7 c)'!D17</f>
        <v>39731245.240000002</v>
      </c>
      <c r="S12" s="18">
        <f>'Formato 7 c)'!E17</f>
        <v>38665751.423524529</v>
      </c>
      <c r="T12" s="18">
        <f>'Formato 7 c)'!F17</f>
        <v>45208837.842592865</v>
      </c>
      <c r="U12" s="18">
        <f>'Formato 7 c)'!G17</f>
        <v>48001569.803300001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27170765.4531</v>
      </c>
      <c r="R23" s="18">
        <f>'Formato 7 c)'!D31</f>
        <v>39731245.240000002</v>
      </c>
      <c r="S23" s="18">
        <f>'Formato 7 c)'!E31</f>
        <v>38665751.423524529</v>
      </c>
      <c r="T23" s="18">
        <f>'Formato 7 c)'!F31</f>
        <v>45208837.842592865</v>
      </c>
      <c r="U23" s="18">
        <f>'Formato 7 c)'!G31</f>
        <v>48001569.803300001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abSelected="1" topLeftCell="A6" zoomScale="90" zoomScaleNormal="90" workbookViewId="0">
      <selection activeCell="G7" sqref="G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27170765.4531</v>
      </c>
      <c r="D7" s="59">
        <f t="shared" si="0"/>
        <v>38236942.903763905</v>
      </c>
      <c r="E7" s="59">
        <f t="shared" si="0"/>
        <v>38665751.423524529</v>
      </c>
      <c r="F7" s="59">
        <f t="shared" si="0"/>
        <v>45208837.842592865</v>
      </c>
      <c r="G7" s="59">
        <f t="shared" si="0"/>
        <v>48001569.803300001</v>
      </c>
    </row>
    <row r="8" spans="1:7" x14ac:dyDescent="0.25">
      <c r="A8" s="53" t="s">
        <v>454</v>
      </c>
      <c r="B8" s="60">
        <v>0</v>
      </c>
      <c r="C8" s="60">
        <v>20849378.2031</v>
      </c>
      <c r="D8" s="60">
        <v>24086764.593763899</v>
      </c>
      <c r="E8" s="60">
        <v>26743676.003524531</v>
      </c>
      <c r="F8" s="60">
        <v>29968985.702592865</v>
      </c>
      <c r="G8" s="60">
        <v>31868710</v>
      </c>
    </row>
    <row r="9" spans="1:7" x14ac:dyDescent="0.25">
      <c r="A9" s="53" t="s">
        <v>455</v>
      </c>
      <c r="B9" s="60">
        <v>0</v>
      </c>
      <c r="C9" s="60">
        <v>910025</v>
      </c>
      <c r="D9" s="60">
        <v>1550111.51</v>
      </c>
      <c r="E9" s="60">
        <v>1740135.4100000001</v>
      </c>
      <c r="F9" s="60">
        <v>1421484.4300000002</v>
      </c>
      <c r="G9" s="60">
        <v>1603386.9988000002</v>
      </c>
    </row>
    <row r="10" spans="1:7" x14ac:dyDescent="0.25">
      <c r="A10" s="53" t="s">
        <v>456</v>
      </c>
      <c r="B10" s="60">
        <v>0</v>
      </c>
      <c r="C10" s="60">
        <v>5250162.25</v>
      </c>
      <c r="D10" s="60">
        <v>7923328.7699999996</v>
      </c>
      <c r="E10" s="60">
        <v>7027890.0099999998</v>
      </c>
      <c r="F10" s="60">
        <v>11538082.710000001</v>
      </c>
      <c r="G10" s="60">
        <v>13587151.804500001</v>
      </c>
    </row>
    <row r="11" spans="1:7" x14ac:dyDescent="0.25">
      <c r="A11" s="53" t="s">
        <v>457</v>
      </c>
      <c r="B11" s="60">
        <v>0</v>
      </c>
      <c r="C11" s="60">
        <v>158000</v>
      </c>
      <c r="D11" s="60">
        <v>294000</v>
      </c>
      <c r="E11" s="60">
        <v>424050</v>
      </c>
      <c r="F11" s="60">
        <v>0</v>
      </c>
      <c r="G11" s="60">
        <v>200000</v>
      </c>
    </row>
    <row r="12" spans="1:7" x14ac:dyDescent="0.25">
      <c r="A12" s="53" t="s">
        <v>458</v>
      </c>
      <c r="B12" s="60">
        <v>0</v>
      </c>
      <c r="C12" s="60">
        <v>3200</v>
      </c>
      <c r="D12" s="60">
        <v>4382738.03</v>
      </c>
      <c r="E12" s="60">
        <v>2730000</v>
      </c>
      <c r="F12" s="60">
        <v>2280285</v>
      </c>
      <c r="G12" s="60">
        <v>742321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27170765.4531</v>
      </c>
      <c r="D29" s="60">
        <f t="shared" si="2"/>
        <v>38236942.903763905</v>
      </c>
      <c r="E29" s="60">
        <f t="shared" si="2"/>
        <v>38665751.423524529</v>
      </c>
      <c r="F29" s="60">
        <f t="shared" si="2"/>
        <v>45208837.842592865</v>
      </c>
      <c r="G29" s="60">
        <f t="shared" si="2"/>
        <v>48001569.803300001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27170765.4531</v>
      </c>
      <c r="R2" s="18">
        <f>'Formato 7 d)'!D7</f>
        <v>38236942.903763905</v>
      </c>
      <c r="S2" s="18">
        <f>'Formato 7 d)'!E7</f>
        <v>38665751.423524529</v>
      </c>
      <c r="T2" s="18">
        <f>'Formato 7 d)'!F7</f>
        <v>45208837.842592865</v>
      </c>
      <c r="U2" s="18">
        <f>'Formato 7 d)'!G7</f>
        <v>48001569.803300001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20849378.2031</v>
      </c>
      <c r="R3" s="18">
        <f>'Formato 7 d)'!D8</f>
        <v>24086764.593763899</v>
      </c>
      <c r="S3" s="18">
        <f>'Formato 7 d)'!E8</f>
        <v>26743676.003524531</v>
      </c>
      <c r="T3" s="18">
        <f>'Formato 7 d)'!F8</f>
        <v>29968985.702592865</v>
      </c>
      <c r="U3" s="18">
        <f>'Formato 7 d)'!G8</f>
        <v>31868710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910025</v>
      </c>
      <c r="R4" s="18">
        <f>'Formato 7 d)'!D9</f>
        <v>1550111.51</v>
      </c>
      <c r="S4" s="18">
        <f>'Formato 7 d)'!E9</f>
        <v>1740135.4100000001</v>
      </c>
      <c r="T4" s="18">
        <f>'Formato 7 d)'!F9</f>
        <v>1421484.4300000002</v>
      </c>
      <c r="U4" s="18">
        <f>'Formato 7 d)'!G9</f>
        <v>1603386.9988000002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5250162.25</v>
      </c>
      <c r="R5" s="18">
        <f>'Formato 7 d)'!D10</f>
        <v>7923328.7699999996</v>
      </c>
      <c r="S5" s="18">
        <f>'Formato 7 d)'!E10</f>
        <v>7027890.0099999998</v>
      </c>
      <c r="T5" s="18">
        <f>'Formato 7 d)'!F10</f>
        <v>11538082.710000001</v>
      </c>
      <c r="U5" s="18">
        <f>'Formato 7 d)'!G10</f>
        <v>13587151.804500001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158000</v>
      </c>
      <c r="R6" s="18">
        <f>'Formato 7 d)'!D11</f>
        <v>294000</v>
      </c>
      <c r="S6" s="18">
        <f>'Formato 7 d)'!E11</f>
        <v>424050</v>
      </c>
      <c r="T6" s="18">
        <f>'Formato 7 d)'!F11</f>
        <v>0</v>
      </c>
      <c r="U6" s="18">
        <f>'Formato 7 d)'!G11</f>
        <v>200000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3200</v>
      </c>
      <c r="R7" s="18">
        <f>'Formato 7 d)'!D12</f>
        <v>4382738.03</v>
      </c>
      <c r="S7" s="18">
        <f>'Formato 7 d)'!E12</f>
        <v>2730000</v>
      </c>
      <c r="T7" s="18">
        <f>'Formato 7 d)'!F12</f>
        <v>2280285</v>
      </c>
      <c r="U7" s="18">
        <f>'Formato 7 d)'!G12</f>
        <v>742321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27170765.4531</v>
      </c>
      <c r="R22" s="18">
        <f>'Formato 7 d)'!D29</f>
        <v>38236942.903763905</v>
      </c>
      <c r="S22" s="18">
        <f>'Formato 7 d)'!E29</f>
        <v>38665751.423524529</v>
      </c>
      <c r="T22" s="18">
        <f>'Formato 7 d)'!F29</f>
        <v>45208837.842592865</v>
      </c>
      <c r="U22" s="18">
        <f>'Formato 7 d)'!G29</f>
        <v>48001569.803300001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5" zoomScale="90" zoomScaleNormal="90" workbookViewId="0">
      <selection activeCell="D4" sqref="D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2021 y al 30 de marzo de 2022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8863178.9499999993</v>
      </c>
      <c r="C9" s="60">
        <f>SUM(C10:C16)</f>
        <v>5104964.47</v>
      </c>
      <c r="D9" s="100" t="s">
        <v>54</v>
      </c>
      <c r="E9" s="60">
        <f>SUM(E10:E18)</f>
        <v>845537.5</v>
      </c>
      <c r="F9" s="60">
        <f>SUM(F10:F18)</f>
        <v>1221601.0699999998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155227.26999999999</v>
      </c>
      <c r="F10" s="60">
        <v>645911.06999999995</v>
      </c>
    </row>
    <row r="11" spans="1:6" x14ac:dyDescent="0.25">
      <c r="A11" s="96" t="s">
        <v>5</v>
      </c>
      <c r="B11" s="60">
        <v>8863178.9499999993</v>
      </c>
      <c r="C11" s="60">
        <v>5104964.47</v>
      </c>
      <c r="D11" s="101" t="s">
        <v>56</v>
      </c>
      <c r="E11" s="60">
        <v>0</v>
      </c>
      <c r="F11" s="60">
        <v>64043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690310.23</v>
      </c>
      <c r="F16" s="60">
        <v>511647</v>
      </c>
    </row>
    <row r="17" spans="1:6" x14ac:dyDescent="0.25">
      <c r="A17" s="95" t="s">
        <v>11</v>
      </c>
      <c r="B17" s="60">
        <v>3332240.19</v>
      </c>
      <c r="C17" s="60">
        <f>SUM(C18:C24)</f>
        <v>10788.19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5319.19</v>
      </c>
      <c r="C20" s="60">
        <v>10788.19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12195419.139999999</v>
      </c>
      <c r="C47" s="61">
        <f>C9+C17+C25+C31+C38+C41</f>
        <v>5115752.66</v>
      </c>
      <c r="D47" s="99" t="s">
        <v>91</v>
      </c>
      <c r="E47" s="61">
        <f>E9+E19+E23+E26+E27+E31+E38+E42</f>
        <v>845537.5</v>
      </c>
      <c r="F47" s="61">
        <f>F9+F19+F23+F26+F27+F31+F38+F42</f>
        <v>1221601.0699999998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7441063.3300000001</v>
      </c>
      <c r="C53" s="60">
        <v>7441063.3300000001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2344260.4300000002</v>
      </c>
      <c r="C54" s="60">
        <v>2173248.59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-5444230.1299999999</v>
      </c>
      <c r="C55" s="60">
        <v>-4872785.29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845537.5</v>
      </c>
      <c r="F59" s="61">
        <f>F47+F57</f>
        <v>1221601.0699999998</v>
      </c>
    </row>
    <row r="60" spans="1:6" x14ac:dyDescent="0.25">
      <c r="A60" s="55" t="s">
        <v>50</v>
      </c>
      <c r="B60" s="61">
        <f>SUM(B50:B58)</f>
        <v>4341093.63</v>
      </c>
      <c r="C60" s="61">
        <f>SUM(C50:C58)</f>
        <v>4741526.63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16536512.77</v>
      </c>
      <c r="C62" s="61">
        <f>SUM(C47+C60)</f>
        <v>9857279.2899999991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15690975.27</v>
      </c>
      <c r="F68" s="77">
        <f>SUM(F69:F73)</f>
        <v>8635678.2200000007</v>
      </c>
    </row>
    <row r="69" spans="1:6" x14ac:dyDescent="0.25">
      <c r="A69" s="12"/>
      <c r="B69" s="54"/>
      <c r="C69" s="54"/>
      <c r="D69" s="103" t="s">
        <v>107</v>
      </c>
      <c r="E69" s="77">
        <v>9861562.8200000003</v>
      </c>
      <c r="F69" s="77">
        <v>2141885.23</v>
      </c>
    </row>
    <row r="70" spans="1:6" x14ac:dyDescent="0.25">
      <c r="A70" s="12"/>
      <c r="B70" s="54"/>
      <c r="C70" s="54"/>
      <c r="D70" s="103" t="s">
        <v>108</v>
      </c>
      <c r="E70" s="77">
        <v>5829412.4500000002</v>
      </c>
      <c r="F70" s="77">
        <v>6493792.9900000002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15690975.27</v>
      </c>
      <c r="F79" s="61">
        <f>F63+F68+F75</f>
        <v>8635678.2200000007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16536512.77</v>
      </c>
      <c r="F81" s="61">
        <f>F59+F79</f>
        <v>9857279.290000001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8863178.9499999993</v>
      </c>
      <c r="Q4" s="18">
        <f>'Formato 1'!C9</f>
        <v>5104964.47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8863178.9499999993</v>
      </c>
      <c r="Q6" s="18">
        <f>'Formato 1'!C11</f>
        <v>5104964.47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3332240.19</v>
      </c>
      <c r="Q12" s="18">
        <f>'Formato 1'!C17</f>
        <v>10788.19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5319.19</v>
      </c>
      <c r="Q15" s="18">
        <f>'Formato 1'!C20</f>
        <v>10788.19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12195419.139999999</v>
      </c>
      <c r="Q42" s="18">
        <f>'Formato 1'!C47</f>
        <v>5115752.66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7441063.3300000001</v>
      </c>
      <c r="Q47">
        <f>'Formato 1'!C53</f>
        <v>7441063.3300000001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2344260.4300000002</v>
      </c>
      <c r="Q48">
        <f>'Formato 1'!C54</f>
        <v>2173248.59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-5444230.1299999999</v>
      </c>
      <c r="Q49">
        <f>'Formato 1'!C55</f>
        <v>-4872785.29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4341093.63</v>
      </c>
      <c r="Q53">
        <f>'Formato 1'!C60</f>
        <v>4741526.63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16536512.77</v>
      </c>
      <c r="Q54">
        <f>'Formato 1'!C62</f>
        <v>9857279.2899999991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845537.5</v>
      </c>
      <c r="Q57">
        <f>'Formato 1'!F9</f>
        <v>1221601.0699999998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155227.26999999999</v>
      </c>
      <c r="Q58">
        <f>'Formato 1'!F10</f>
        <v>645911.06999999995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64043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690310.23</v>
      </c>
      <c r="Q64">
        <f>'Formato 1'!F16</f>
        <v>511647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845537.5</v>
      </c>
      <c r="Q95">
        <f>'Formato 1'!F47</f>
        <v>1221601.0699999998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845537.5</v>
      </c>
      <c r="Q104">
        <f>'Formato 1'!F59</f>
        <v>1221601.0699999998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15690975.27</v>
      </c>
      <c r="Q110">
        <f>'Formato 1'!F68</f>
        <v>8635678.2200000007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9861562.8200000003</v>
      </c>
      <c r="Q111">
        <f>'Formato 1'!F69</f>
        <v>2141885.23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5829412.4500000002</v>
      </c>
      <c r="Q112">
        <f>'Formato 1'!F70</f>
        <v>6493792.9900000002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15690975.27</v>
      </c>
      <c r="Q119">
        <f>'Formato 1'!F79</f>
        <v>8635678.2200000007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16536512.77</v>
      </c>
      <c r="Q120">
        <f>'Formato 1'!F81</f>
        <v>9857279.290000001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6" sqref="A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2021 y al 30 de marzo de 2022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1221601.0699999998</v>
      </c>
      <c r="C18" s="132"/>
      <c r="D18" s="132"/>
      <c r="E18" s="132"/>
      <c r="F18" s="61">
        <v>845537.5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1221601.0699999998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845537.5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1221601.0699999998</v>
      </c>
      <c r="Q12" s="18"/>
      <c r="R12" s="18"/>
      <c r="S12" s="18"/>
      <c r="T12" s="18">
        <f>'Formato 2'!F18</f>
        <v>845537.5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1221601.0699999998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845537.5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B2" zoomScale="90" zoomScaleNormal="90" workbookViewId="0">
      <selection activeCell="J21" sqref="J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2022 (k)</v>
      </c>
      <c r="J6" s="131" t="str">
        <f>MONTO2</f>
        <v>Monto pagado de la inversión actualizado al 30 de marzo de 2022 (l)</v>
      </c>
      <c r="K6" s="131" t="str">
        <f>SALDO_PENDIENTE</f>
        <v>Saldo pendiente por pagar de la inversión al 30 de marzo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2022-04-22T16:38:04Z</dcterms:modified>
</cp:coreProperties>
</file>