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 codeName="{3D1A710C-6663-3D7B-7F91-EC182F24A4BC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1\Cuenta publica\5.- Anual 2021 IMJU\Formatos_2021\"/>
    </mc:Choice>
  </mc:AlternateContent>
  <xr:revisionPtr revIDLastSave="0" documentId="13_ncr:1_{BC7B0AAF-D912-4E83-8E25-D4CFA60F7A36}" xr6:coauthVersionLast="36" xr6:coauthVersionMax="36" xr10:uidLastSave="{00000000-0000-0000-0000-000000000000}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0490" windowHeight="7245" firstSheet="19" activeTab="29" xr2:uid="{00000000-000D-0000-FFFF-FFFF00000000}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9" l="1"/>
  <c r="B12" i="9"/>
  <c r="B16" i="9"/>
  <c r="B9" i="9"/>
  <c r="B37" i="8"/>
  <c r="G34" i="5"/>
  <c r="B75" i="5"/>
  <c r="B67" i="5"/>
  <c r="B65" i="5"/>
  <c r="B59" i="5"/>
  <c r="E23" i="1"/>
  <c r="C9" i="1"/>
  <c r="B9" i="1"/>
  <c r="G138" i="6"/>
  <c r="G139" i="6"/>
  <c r="G140" i="6"/>
  <c r="G141" i="6"/>
  <c r="G142" i="6"/>
  <c r="G144" i="6"/>
  <c r="G145" i="6"/>
  <c r="G137" i="6"/>
  <c r="C137" i="6"/>
  <c r="D137" i="6"/>
  <c r="E137" i="6"/>
  <c r="F137" i="6"/>
  <c r="B137" i="6"/>
  <c r="C62" i="6"/>
  <c r="D62" i="6"/>
  <c r="E62" i="6"/>
  <c r="F62" i="6"/>
  <c r="G63" i="6"/>
  <c r="G64" i="6"/>
  <c r="G65" i="6"/>
  <c r="G66" i="6"/>
  <c r="G67" i="6"/>
  <c r="G69" i="6"/>
  <c r="G70" i="6"/>
  <c r="G62" i="6"/>
  <c r="B62" i="6"/>
  <c r="B8" i="10"/>
  <c r="C6" i="23"/>
  <c r="H25" i="23"/>
  <c r="G25" i="23"/>
  <c r="F25" i="23"/>
  <c r="E25" i="23"/>
  <c r="D25" i="23"/>
  <c r="G30" i="9"/>
  <c r="G31" i="9"/>
  <c r="G29" i="9"/>
  <c r="G26" i="9"/>
  <c r="G27" i="9"/>
  <c r="G25" i="9"/>
  <c r="G23" i="9"/>
  <c r="G22" i="9"/>
  <c r="G19" i="9"/>
  <c r="G18" i="9"/>
  <c r="G17" i="9"/>
  <c r="G14" i="9"/>
  <c r="G15" i="9"/>
  <c r="G13" i="9"/>
  <c r="G11" i="9"/>
  <c r="G10" i="9"/>
  <c r="C7" i="23"/>
  <c r="A2" i="9"/>
  <c r="A2" i="6"/>
  <c r="G73" i="8"/>
  <c r="G74" i="8"/>
  <c r="G75" i="8"/>
  <c r="G72" i="8"/>
  <c r="G71" i="8"/>
  <c r="G63" i="8"/>
  <c r="G64" i="8"/>
  <c r="G65" i="8"/>
  <c r="G66" i="8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11" i="8"/>
  <c r="G12" i="8"/>
  <c r="G13" i="8"/>
  <c r="G14" i="8"/>
  <c r="G15" i="8"/>
  <c r="G16" i="8"/>
  <c r="G17" i="8"/>
  <c r="G18" i="8"/>
  <c r="G10" i="8"/>
  <c r="G20" i="8"/>
  <c r="G21" i="8"/>
  <c r="G22" i="8"/>
  <c r="G23" i="8"/>
  <c r="G24" i="8"/>
  <c r="G25" i="8"/>
  <c r="G26" i="8"/>
  <c r="G19" i="8"/>
  <c r="G28" i="8"/>
  <c r="G29" i="8"/>
  <c r="G30" i="8"/>
  <c r="G31" i="8"/>
  <c r="G32" i="8"/>
  <c r="G33" i="8"/>
  <c r="G34" i="8"/>
  <c r="G35" i="8"/>
  <c r="G36" i="8"/>
  <c r="G27" i="8"/>
  <c r="G37" i="8"/>
  <c r="G21" i="7"/>
  <c r="G22" i="7"/>
  <c r="G23" i="7"/>
  <c r="G24" i="7"/>
  <c r="G25" i="7"/>
  <c r="G26" i="7"/>
  <c r="G27" i="7"/>
  <c r="G20" i="7"/>
  <c r="G11" i="7"/>
  <c r="G12" i="7"/>
  <c r="G13" i="7"/>
  <c r="G14" i="7"/>
  <c r="G15" i="7"/>
  <c r="G16" i="7"/>
  <c r="G17" i="7"/>
  <c r="G10" i="7"/>
  <c r="B10" i="6"/>
  <c r="B18" i="6"/>
  <c r="B28" i="6"/>
  <c r="B38" i="6"/>
  <c r="B48" i="6"/>
  <c r="B58" i="6"/>
  <c r="B71" i="6"/>
  <c r="B75" i="6"/>
  <c r="B9" i="6"/>
  <c r="G152" i="6"/>
  <c r="G153" i="6"/>
  <c r="G154" i="6"/>
  <c r="G155" i="6"/>
  <c r="G156" i="6"/>
  <c r="G157" i="6"/>
  <c r="G151" i="6"/>
  <c r="G148" i="6"/>
  <c r="G149" i="6"/>
  <c r="G147" i="6"/>
  <c r="G143" i="6"/>
  <c r="G135" i="6"/>
  <c r="G136" i="6"/>
  <c r="G134" i="6"/>
  <c r="G125" i="6"/>
  <c r="G126" i="6"/>
  <c r="G127" i="6"/>
  <c r="G128" i="6"/>
  <c r="G129" i="6"/>
  <c r="G130" i="6"/>
  <c r="G131" i="6"/>
  <c r="G132" i="6"/>
  <c r="G124" i="6"/>
  <c r="G115" i="6"/>
  <c r="G116" i="6"/>
  <c r="G117" i="6"/>
  <c r="G118" i="6"/>
  <c r="G119" i="6"/>
  <c r="G120" i="6"/>
  <c r="G121" i="6"/>
  <c r="G122" i="6"/>
  <c r="G114" i="6"/>
  <c r="G105" i="6"/>
  <c r="G106" i="6"/>
  <c r="G107" i="6"/>
  <c r="G108" i="6"/>
  <c r="G109" i="6"/>
  <c r="G110" i="6"/>
  <c r="G111" i="6"/>
  <c r="G112" i="6"/>
  <c r="G104" i="6"/>
  <c r="G95" i="6"/>
  <c r="G96" i="6"/>
  <c r="G97" i="6"/>
  <c r="G98" i="6"/>
  <c r="G99" i="6"/>
  <c r="G100" i="6"/>
  <c r="G101" i="6"/>
  <c r="G102" i="6"/>
  <c r="G94" i="6"/>
  <c r="G87" i="6"/>
  <c r="G88" i="6"/>
  <c r="G89" i="6"/>
  <c r="G90" i="6"/>
  <c r="G91" i="6"/>
  <c r="G92" i="6"/>
  <c r="G86" i="6"/>
  <c r="G77" i="6"/>
  <c r="G78" i="6"/>
  <c r="G79" i="6"/>
  <c r="G80" i="6"/>
  <c r="G81" i="6"/>
  <c r="G82" i="6"/>
  <c r="G76" i="6"/>
  <c r="G73" i="6"/>
  <c r="G74" i="6"/>
  <c r="G72" i="6"/>
  <c r="G68" i="6"/>
  <c r="G60" i="6"/>
  <c r="G61" i="6"/>
  <c r="G59" i="6"/>
  <c r="G50" i="6"/>
  <c r="G51" i="6"/>
  <c r="G52" i="6"/>
  <c r="G53" i="6"/>
  <c r="G54" i="6"/>
  <c r="G55" i="6"/>
  <c r="G56" i="6"/>
  <c r="G57" i="6"/>
  <c r="G49" i="6"/>
  <c r="G40" i="6"/>
  <c r="G41" i="6"/>
  <c r="G42" i="6"/>
  <c r="G43" i="6"/>
  <c r="G44" i="6"/>
  <c r="G45" i="6"/>
  <c r="G46" i="6"/>
  <c r="G47" i="6"/>
  <c r="G39" i="6"/>
  <c r="G30" i="6"/>
  <c r="G31" i="6"/>
  <c r="G32" i="6"/>
  <c r="G33" i="6"/>
  <c r="G34" i="6"/>
  <c r="G35" i="6"/>
  <c r="G36" i="6"/>
  <c r="G37" i="6"/>
  <c r="G29" i="6"/>
  <c r="G20" i="6"/>
  <c r="G21" i="6"/>
  <c r="G22" i="6"/>
  <c r="G23" i="6"/>
  <c r="G24" i="6"/>
  <c r="G25" i="6"/>
  <c r="G26" i="6"/>
  <c r="G27" i="6"/>
  <c r="G19" i="6"/>
  <c r="G11" i="6"/>
  <c r="B7" i="13"/>
  <c r="G12" i="6"/>
  <c r="G18" i="6"/>
  <c r="G13" i="6"/>
  <c r="G14" i="6"/>
  <c r="G15" i="6"/>
  <c r="G16" i="6"/>
  <c r="G17" i="6"/>
  <c r="G10" i="6"/>
  <c r="G9" i="5"/>
  <c r="G10" i="5"/>
  <c r="G11" i="5"/>
  <c r="G12" i="5"/>
  <c r="G13" i="5"/>
  <c r="G14" i="5"/>
  <c r="G15" i="5"/>
  <c r="G17" i="5"/>
  <c r="G18" i="5"/>
  <c r="G19" i="5"/>
  <c r="G20" i="5"/>
  <c r="G21" i="5"/>
  <c r="G22" i="5"/>
  <c r="G23" i="5"/>
  <c r="G24" i="5"/>
  <c r="G25" i="5"/>
  <c r="G26" i="5"/>
  <c r="G27" i="5"/>
  <c r="G16" i="5"/>
  <c r="G29" i="5"/>
  <c r="G30" i="5"/>
  <c r="G31" i="5"/>
  <c r="G32" i="5"/>
  <c r="G33" i="5"/>
  <c r="G28" i="5"/>
  <c r="G36" i="5"/>
  <c r="G35" i="5"/>
  <c r="G38" i="5"/>
  <c r="G39" i="5"/>
  <c r="G37" i="5"/>
  <c r="G41" i="5"/>
  <c r="G42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6" i="9"/>
  <c r="C9" i="9"/>
  <c r="Q2" i="27"/>
  <c r="D12" i="9"/>
  <c r="D16" i="9"/>
  <c r="D9" i="9"/>
  <c r="R2" i="27"/>
  <c r="E12" i="9"/>
  <c r="E16" i="9"/>
  <c r="E9" i="9"/>
  <c r="S2" i="27"/>
  <c r="F12" i="9"/>
  <c r="F16" i="9"/>
  <c r="F9" i="9"/>
  <c r="T2" i="27"/>
  <c r="G12" i="9"/>
  <c r="G16" i="9"/>
  <c r="G9" i="9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/>
  <c r="D24" i="9"/>
  <c r="D28" i="9"/>
  <c r="D21" i="9"/>
  <c r="R13" i="27"/>
  <c r="E24" i="9"/>
  <c r="E28" i="9"/>
  <c r="E21" i="9"/>
  <c r="S13" i="27"/>
  <c r="F24" i="9"/>
  <c r="F28" i="9"/>
  <c r="F21" i="9"/>
  <c r="T13" i="27"/>
  <c r="G24" i="9"/>
  <c r="G28" i="9"/>
  <c r="G21" i="9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/>
  <c r="D33" i="9"/>
  <c r="R24" i="27"/>
  <c r="E33" i="9"/>
  <c r="S24" i="27"/>
  <c r="F33" i="9"/>
  <c r="T24" i="27"/>
  <c r="G33" i="9"/>
  <c r="U24" i="27"/>
  <c r="P3" i="27"/>
  <c r="P4" i="27"/>
  <c r="P5" i="27"/>
  <c r="P6" i="27"/>
  <c r="P7" i="27"/>
  <c r="P8" i="27"/>
  <c r="P9" i="27"/>
  <c r="P10" i="27"/>
  <c r="P11" i="27"/>
  <c r="P12" i="27"/>
  <c r="B24" i="9"/>
  <c r="B28" i="9"/>
  <c r="B21" i="9"/>
  <c r="P13" i="27"/>
  <c r="P14" i="27"/>
  <c r="P15" i="27"/>
  <c r="P16" i="27"/>
  <c r="P17" i="27"/>
  <c r="P18" i="27"/>
  <c r="P19" i="27"/>
  <c r="P20" i="27"/>
  <c r="P21" i="27"/>
  <c r="P22" i="27"/>
  <c r="P23" i="27"/>
  <c r="B33" i="9"/>
  <c r="P24" i="27"/>
  <c r="P2" i="27"/>
  <c r="A5" i="27"/>
  <c r="A4" i="27"/>
  <c r="A3" i="27"/>
  <c r="A2" i="27"/>
  <c r="C10" i="8"/>
  <c r="C19" i="8"/>
  <c r="C27" i="8"/>
  <c r="C37" i="8"/>
  <c r="C9" i="8"/>
  <c r="Q2" i="26"/>
  <c r="D10" i="8"/>
  <c r="D19" i="8"/>
  <c r="D27" i="8"/>
  <c r="D37" i="8"/>
  <c r="D9" i="8"/>
  <c r="R2" i="26"/>
  <c r="E10" i="8"/>
  <c r="E19" i="8"/>
  <c r="E27" i="8"/>
  <c r="E37" i="8"/>
  <c r="E9" i="8"/>
  <c r="S2" i="26"/>
  <c r="F10" i="8"/>
  <c r="F19" i="8"/>
  <c r="F27" i="8"/>
  <c r="F37" i="8"/>
  <c r="F9" i="8"/>
  <c r="T2" i="26"/>
  <c r="G9" i="8"/>
  <c r="U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C61" i="8"/>
  <c r="C71" i="8"/>
  <c r="C43" i="8"/>
  <c r="Q35" i="26"/>
  <c r="D44" i="8"/>
  <c r="D53" i="8"/>
  <c r="D61" i="8"/>
  <c r="D71" i="8"/>
  <c r="D43" i="8"/>
  <c r="R35" i="26"/>
  <c r="E44" i="8"/>
  <c r="E53" i="8"/>
  <c r="E61" i="8"/>
  <c r="E71" i="8"/>
  <c r="E43" i="8"/>
  <c r="S35" i="26"/>
  <c r="F44" i="8"/>
  <c r="F53" i="8"/>
  <c r="F61" i="8"/>
  <c r="F71" i="8"/>
  <c r="F43" i="8"/>
  <c r="T35" i="26"/>
  <c r="G44" i="8"/>
  <c r="G53" i="8"/>
  <c r="G61" i="8"/>
  <c r="G43" i="8"/>
  <c r="U35" i="26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C77" i="8"/>
  <c r="Q68" i="26"/>
  <c r="D77" i="8"/>
  <c r="R68" i="26"/>
  <c r="E77" i="8"/>
  <c r="S68" i="26"/>
  <c r="F77" i="8"/>
  <c r="T68" i="26"/>
  <c r="G77" i="8"/>
  <c r="U68" i="26"/>
  <c r="B44" i="8"/>
  <c r="B53" i="8"/>
  <c r="B61" i="8"/>
  <c r="B71" i="8"/>
  <c r="B43" i="8"/>
  <c r="B10" i="8"/>
  <c r="B19" i="8"/>
  <c r="B27" i="8"/>
  <c r="B9" i="8"/>
  <c r="B77" i="8"/>
  <c r="P68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2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19" i="7"/>
  <c r="G29" i="7"/>
  <c r="U4" i="25"/>
  <c r="F9" i="7"/>
  <c r="F19" i="7"/>
  <c r="F29" i="7"/>
  <c r="T4" i="25"/>
  <c r="E9" i="7"/>
  <c r="E19" i="7"/>
  <c r="E29" i="7"/>
  <c r="S4" i="25"/>
  <c r="S3" i="25"/>
  <c r="D9" i="7"/>
  <c r="D19" i="7"/>
  <c r="D29" i="7"/>
  <c r="R4" i="25"/>
  <c r="R3" i="25"/>
  <c r="C9" i="7"/>
  <c r="C19" i="7"/>
  <c r="C29" i="7"/>
  <c r="Q4" i="25"/>
  <c r="B9" i="7"/>
  <c r="B19" i="7"/>
  <c r="B29" i="7"/>
  <c r="P4" i="25"/>
  <c r="U3" i="25"/>
  <c r="T3" i="25"/>
  <c r="Q3" i="25"/>
  <c r="P3" i="25"/>
  <c r="S2" i="25"/>
  <c r="R2" i="25"/>
  <c r="A3" i="25"/>
  <c r="A4" i="25"/>
  <c r="A2" i="25"/>
  <c r="A87" i="24"/>
  <c r="C85" i="6"/>
  <c r="C93" i="6"/>
  <c r="C103" i="6"/>
  <c r="C113" i="6"/>
  <c r="C123" i="6"/>
  <c r="C133" i="6"/>
  <c r="C146" i="6"/>
  <c r="C150" i="6"/>
  <c r="C84" i="6"/>
  <c r="Q76" i="24"/>
  <c r="D85" i="6"/>
  <c r="D93" i="6"/>
  <c r="D103" i="6"/>
  <c r="D113" i="6"/>
  <c r="D123" i="6"/>
  <c r="D133" i="6"/>
  <c r="D146" i="6"/>
  <c r="D150" i="6"/>
  <c r="D84" i="6"/>
  <c r="R76" i="24"/>
  <c r="E85" i="6"/>
  <c r="E93" i="6"/>
  <c r="E103" i="6"/>
  <c r="E113" i="6"/>
  <c r="E123" i="6"/>
  <c r="E133" i="6"/>
  <c r="E146" i="6"/>
  <c r="E150" i="6"/>
  <c r="E84" i="6"/>
  <c r="S76" i="24"/>
  <c r="F85" i="6"/>
  <c r="F93" i="6"/>
  <c r="F103" i="6"/>
  <c r="F113" i="6"/>
  <c r="F123" i="6"/>
  <c r="F133" i="6"/>
  <c r="F146" i="6"/>
  <c r="F150" i="6"/>
  <c r="F84" i="6"/>
  <c r="T76" i="24"/>
  <c r="G85" i="6"/>
  <c r="G93" i="6"/>
  <c r="G103" i="6"/>
  <c r="G113" i="6"/>
  <c r="G123" i="6"/>
  <c r="G133" i="6"/>
  <c r="G146" i="6"/>
  <c r="G150" i="6"/>
  <c r="G84" i="6"/>
  <c r="U76" i="24"/>
  <c r="Q77" i="24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T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58" i="6"/>
  <c r="C71" i="6"/>
  <c r="C75" i="6"/>
  <c r="C9" i="6"/>
  <c r="C159" i="6"/>
  <c r="Q150" i="24"/>
  <c r="D10" i="6"/>
  <c r="D18" i="6"/>
  <c r="D28" i="6"/>
  <c r="D38" i="6"/>
  <c r="D48" i="6"/>
  <c r="D58" i="6"/>
  <c r="D71" i="6"/>
  <c r="D75" i="6"/>
  <c r="D9" i="6"/>
  <c r="D159" i="6"/>
  <c r="R150" i="24"/>
  <c r="E10" i="6"/>
  <c r="E18" i="6"/>
  <c r="E28" i="6"/>
  <c r="E38" i="6"/>
  <c r="E48" i="6"/>
  <c r="E58" i="6"/>
  <c r="E71" i="6"/>
  <c r="E75" i="6"/>
  <c r="E9" i="6"/>
  <c r="E159" i="6"/>
  <c r="S150" i="24"/>
  <c r="F10" i="6"/>
  <c r="F18" i="6"/>
  <c r="F28" i="6"/>
  <c r="F38" i="6"/>
  <c r="F48" i="6"/>
  <c r="F58" i="6"/>
  <c r="F71" i="6"/>
  <c r="F75" i="6"/>
  <c r="F9" i="6"/>
  <c r="F159" i="6"/>
  <c r="T150" i="24"/>
  <c r="G28" i="6"/>
  <c r="G38" i="6"/>
  <c r="G48" i="6"/>
  <c r="G58" i="6"/>
  <c r="G71" i="6"/>
  <c r="G75" i="6"/>
  <c r="G9" i="6"/>
  <c r="G159" i="6"/>
  <c r="U150" i="24"/>
  <c r="B85" i="6"/>
  <c r="B93" i="6"/>
  <c r="B103" i="6"/>
  <c r="B113" i="6"/>
  <c r="B123" i="6"/>
  <c r="B133" i="6"/>
  <c r="B146" i="6"/>
  <c r="B150" i="6"/>
  <c r="B84" i="6"/>
  <c r="B159" i="6"/>
  <c r="P150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76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R2" i="24"/>
  <c r="S2" i="24"/>
  <c r="T2" i="24"/>
  <c r="U2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2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G46" i="5"/>
  <c r="G47" i="5"/>
  <c r="G48" i="5"/>
  <c r="G49" i="5"/>
  <c r="G50" i="5"/>
  <c r="G51" i="5"/>
  <c r="G52" i="5"/>
  <c r="G53" i="5"/>
  <c r="G45" i="5"/>
  <c r="U37" i="20"/>
  <c r="U38" i="20"/>
  <c r="U39" i="20"/>
  <c r="U40" i="20"/>
  <c r="U41" i="20"/>
  <c r="U42" i="20"/>
  <c r="U43" i="20"/>
  <c r="U44" i="20"/>
  <c r="U45" i="20"/>
  <c r="G55" i="5"/>
  <c r="G56" i="5"/>
  <c r="G57" i="5"/>
  <c r="G58" i="5"/>
  <c r="G54" i="5"/>
  <c r="U46" i="20"/>
  <c r="U47" i="20"/>
  <c r="U48" i="20"/>
  <c r="U49" i="20"/>
  <c r="U50" i="20"/>
  <c r="G60" i="5"/>
  <c r="G61" i="5"/>
  <c r="G59" i="5"/>
  <c r="U51" i="20"/>
  <c r="U52" i="20"/>
  <c r="U53" i="20"/>
  <c r="G62" i="5"/>
  <c r="U54" i="20"/>
  <c r="G63" i="5"/>
  <c r="U55" i="20"/>
  <c r="G65" i="5"/>
  <c r="U56" i="20"/>
  <c r="G68" i="5"/>
  <c r="G67" i="5"/>
  <c r="U57" i="20"/>
  <c r="U58" i="20"/>
  <c r="G73" i="5"/>
  <c r="U60" i="20"/>
  <c r="G74" i="5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/>
  <c r="E16" i="5"/>
  <c r="S10" i="20"/>
  <c r="F16" i="5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/>
  <c r="D35" i="5"/>
  <c r="R29" i="20"/>
  <c r="E35" i="5"/>
  <c r="S29" i="20"/>
  <c r="F35" i="5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/>
  <c r="D41" i="5"/>
  <c r="R34" i="20"/>
  <c r="E41" i="5"/>
  <c r="S34" i="20"/>
  <c r="F41" i="5"/>
  <c r="T34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C67" i="5"/>
  <c r="Q57" i="20"/>
  <c r="D67" i="5"/>
  <c r="R57" i="20"/>
  <c r="E67" i="5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P62" i="20"/>
  <c r="P60" i="20"/>
  <c r="P58" i="20"/>
  <c r="P57" i="20"/>
  <c r="B45" i="5"/>
  <c r="B54" i="5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16" i="5"/>
  <c r="B28" i="5"/>
  <c r="B35" i="5"/>
  <c r="B37" i="5"/>
  <c r="B41" i="5"/>
  <c r="P34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F19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K14" i="3"/>
  <c r="J14" i="3"/>
  <c r="X4" i="17"/>
  <c r="I14" i="3"/>
  <c r="I8" i="3"/>
  <c r="I20" i="3"/>
  <c r="W5" i="17"/>
  <c r="H14" i="3"/>
  <c r="G14" i="3"/>
  <c r="E14" i="3"/>
  <c r="K8" i="3"/>
  <c r="K20" i="3"/>
  <c r="Y5" i="17"/>
  <c r="J8" i="3"/>
  <c r="H8" i="3"/>
  <c r="H20" i="3"/>
  <c r="V5" i="17"/>
  <c r="G8" i="3"/>
  <c r="G20" i="3"/>
  <c r="U5" i="17"/>
  <c r="E8" i="3"/>
  <c r="F41" i="2"/>
  <c r="E41" i="2"/>
  <c r="D41" i="2"/>
  <c r="R17" i="16"/>
  <c r="C41" i="2"/>
  <c r="H27" i="2"/>
  <c r="G27" i="2"/>
  <c r="U15" i="16"/>
  <c r="F27" i="2"/>
  <c r="E27" i="2"/>
  <c r="D27" i="2"/>
  <c r="C27" i="2"/>
  <c r="Q15" i="16"/>
  <c r="B41" i="2"/>
  <c r="B27" i="2"/>
  <c r="H22" i="2"/>
  <c r="G22" i="2"/>
  <c r="U14" i="16"/>
  <c r="F22" i="2"/>
  <c r="E22" i="2"/>
  <c r="D22" i="2"/>
  <c r="C22" i="2"/>
  <c r="B22" i="2"/>
  <c r="E20" i="3"/>
  <c r="J20" i="3"/>
  <c r="X5" i="17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63" i="4"/>
  <c r="B55" i="4"/>
  <c r="B53" i="4"/>
  <c r="B49" i="4"/>
  <c r="B48" i="4"/>
  <c r="B37" i="4"/>
  <c r="B44" i="4"/>
  <c r="B8" i="4"/>
  <c r="B29" i="4"/>
  <c r="B17" i="4"/>
  <c r="B13" i="4"/>
  <c r="B21" i="4"/>
  <c r="B57" i="4"/>
  <c r="B59" i="4"/>
  <c r="B72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3" i="1"/>
  <c r="F27" i="1"/>
  <c r="F31" i="1"/>
  <c r="F38" i="1"/>
  <c r="F42" i="1"/>
  <c r="F63" i="1"/>
  <c r="Q106" i="15"/>
  <c r="Q107" i="15"/>
  <c r="Q108" i="15"/>
  <c r="Q109" i="15"/>
  <c r="F68" i="1"/>
  <c r="Q110" i="15"/>
  <c r="Q111" i="15"/>
  <c r="Q112" i="15"/>
  <c r="Q113" i="15"/>
  <c r="Q114" i="15"/>
  <c r="Q115" i="15"/>
  <c r="F75" i="1"/>
  <c r="Q116" i="15"/>
  <c r="Q117" i="15"/>
  <c r="Q118" i="15"/>
  <c r="F79" i="1"/>
  <c r="Q119" i="15"/>
  <c r="E9" i="1"/>
  <c r="E19" i="1"/>
  <c r="E27" i="1"/>
  <c r="E31" i="1"/>
  <c r="E38" i="1"/>
  <c r="E42" i="1"/>
  <c r="E47" i="1"/>
  <c r="E57" i="1"/>
  <c r="E59" i="1"/>
  <c r="E63" i="1"/>
  <c r="E68" i="1"/>
  <c r="E75" i="1"/>
  <c r="E79" i="1"/>
  <c r="E81" i="1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17" i="1"/>
  <c r="C25" i="1"/>
  <c r="C31" i="1"/>
  <c r="C38" i="1"/>
  <c r="C41" i="1"/>
  <c r="C47" i="1"/>
  <c r="C60" i="1"/>
  <c r="C62" i="1"/>
  <c r="Q54" i="15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B17" i="1"/>
  <c r="P12" i="15"/>
  <c r="P13" i="15"/>
  <c r="P14" i="15"/>
  <c r="P15" i="15"/>
  <c r="P16" i="15"/>
  <c r="P17" i="15"/>
  <c r="P18" i="15"/>
  <c r="P19" i="15"/>
  <c r="B25" i="1"/>
  <c r="P20" i="15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B23" i="4"/>
  <c r="B25" i="4"/>
  <c r="B33" i="4"/>
  <c r="G70" i="5"/>
  <c r="F70" i="5"/>
  <c r="E70" i="5"/>
  <c r="D70" i="5"/>
  <c r="C70" i="5"/>
  <c r="B70" i="5"/>
  <c r="Y4" i="17"/>
  <c r="Y3" i="17"/>
  <c r="C70" i="4"/>
  <c r="D70" i="4"/>
  <c r="C68" i="4"/>
  <c r="D68" i="4"/>
  <c r="C64" i="4"/>
  <c r="D64" i="4"/>
  <c r="C63" i="4"/>
  <c r="D63" i="4"/>
  <c r="C48" i="4"/>
  <c r="C55" i="4"/>
  <c r="D55" i="4"/>
  <c r="C53" i="4"/>
  <c r="D53" i="4"/>
  <c r="D48" i="4"/>
  <c r="C49" i="4"/>
  <c r="D49" i="4"/>
  <c r="C29" i="4"/>
  <c r="D29" i="4"/>
  <c r="C40" i="4"/>
  <c r="D40" i="4"/>
  <c r="C37" i="4"/>
  <c r="D37" i="4"/>
  <c r="C17" i="4"/>
  <c r="C13" i="4"/>
  <c r="D13" i="4"/>
  <c r="U4" i="17"/>
  <c r="W4" i="17"/>
  <c r="V4" i="17"/>
  <c r="W3" i="17"/>
  <c r="X3" i="17"/>
  <c r="S4" i="17"/>
  <c r="S17" i="16"/>
  <c r="Q17" i="16"/>
  <c r="T17" i="16"/>
  <c r="P17" i="16"/>
  <c r="R15" i="16"/>
  <c r="S15" i="16"/>
  <c r="T15" i="16"/>
  <c r="V15" i="16"/>
  <c r="P15" i="16"/>
  <c r="Q14" i="16"/>
  <c r="R14" i="16"/>
  <c r="V14" i="16"/>
  <c r="P14" i="16"/>
  <c r="C13" i="2"/>
  <c r="Q8" i="16"/>
  <c r="D13" i="2"/>
  <c r="R8" i="16"/>
  <c r="E13" i="2"/>
  <c r="S8" i="16"/>
  <c r="F13" i="2"/>
  <c r="T8" i="16"/>
  <c r="G13" i="2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Q6" i="18"/>
  <c r="R22" i="18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3" i="18"/>
  <c r="R37" i="18"/>
  <c r="R6" i="18"/>
  <c r="Q19" i="18"/>
  <c r="Q15" i="18"/>
  <c r="R30" i="18"/>
  <c r="Q26" i="18"/>
  <c r="Q33" i="18"/>
  <c r="Q37" i="18"/>
  <c r="S5" i="17"/>
  <c r="S3" i="17"/>
  <c r="G8" i="2"/>
  <c r="U8" i="16"/>
  <c r="S14" i="16"/>
  <c r="T14" i="16"/>
  <c r="D44" i="4"/>
  <c r="D57" i="4"/>
  <c r="D59" i="4"/>
  <c r="B8" i="2"/>
  <c r="E8" i="2"/>
  <c r="D8" i="2"/>
  <c r="D20" i="2"/>
  <c r="R13" i="16"/>
  <c r="C44" i="4"/>
  <c r="C72" i="4"/>
  <c r="C57" i="4"/>
  <c r="C59" i="4"/>
  <c r="P12" i="18"/>
  <c r="H8" i="2"/>
  <c r="H20" i="2"/>
  <c r="V13" i="16"/>
  <c r="F8" i="2"/>
  <c r="F20" i="2"/>
  <c r="T13" i="16"/>
  <c r="C8" i="2"/>
  <c r="C20" i="2"/>
  <c r="Q13" i="16"/>
  <c r="B47" i="1"/>
  <c r="D11" i="4"/>
  <c r="R25" i="18"/>
  <c r="R38" i="18"/>
  <c r="C74" i="4"/>
  <c r="Q38" i="18"/>
  <c r="D74" i="4"/>
  <c r="C11" i="4"/>
  <c r="Q25" i="18"/>
  <c r="T3" i="16"/>
  <c r="V3" i="16"/>
  <c r="E20" i="2"/>
  <c r="S13" i="16"/>
  <c r="S3" i="16"/>
  <c r="R3" i="16"/>
  <c r="B20" i="2"/>
  <c r="P13" i="16"/>
  <c r="P3" i="16"/>
  <c r="G20" i="2"/>
  <c r="U13" i="16"/>
  <c r="U3" i="16"/>
  <c r="B62" i="1"/>
  <c r="P54" i="15"/>
  <c r="P42" i="15"/>
  <c r="P39" i="18"/>
  <c r="P38" i="18"/>
  <c r="C8" i="4"/>
  <c r="Q5" i="18"/>
  <c r="Q39" i="18"/>
  <c r="D8" i="4"/>
  <c r="R5" i="18"/>
  <c r="R39" i="18"/>
  <c r="P13" i="18"/>
  <c r="R2" i="18"/>
  <c r="D21" i="4"/>
  <c r="C21" i="4"/>
  <c r="Q2" i="18"/>
  <c r="P18" i="18"/>
  <c r="P14" i="18"/>
  <c r="C23" i="4"/>
  <c r="Q12" i="18"/>
  <c r="D23" i="4"/>
  <c r="R12" i="18"/>
  <c r="D25" i="4"/>
  <c r="R13" i="18"/>
  <c r="C25" i="4"/>
  <c r="Q13" i="18"/>
  <c r="R14" i="18"/>
  <c r="D33" i="4"/>
  <c r="C33" i="4"/>
  <c r="Q14" i="18"/>
  <c r="Q18" i="18"/>
  <c r="R18" i="18"/>
  <c r="F47" i="1"/>
  <c r="F59" i="1"/>
  <c r="Q104" i="15"/>
  <c r="F81" i="1"/>
  <c r="Q120" i="15"/>
  <c r="Q95" i="15"/>
  <c r="Q67" i="15"/>
  <c r="Q3" i="16"/>
  <c r="V3" i="17"/>
  <c r="U3" i="17"/>
  <c r="P2" i="25"/>
  <c r="T2" i="25"/>
  <c r="Q2" i="25"/>
  <c r="U2" i="25"/>
</calcChain>
</file>

<file path=xl/sharedStrings.xml><?xml version="1.0" encoding="utf-8"?>
<sst xmlns="http://schemas.openxmlformats.org/spreadsheetml/2006/main" count="4243" uniqueCount="3306">
  <si>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</si>
  <si>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</si>
  <si>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</si>
  <si>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</si>
  <si>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</si>
  <si>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</si>
  <si>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</si>
  <si>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</si>
  <si>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</si>
  <si>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</si>
  <si>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</si>
  <si>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</si>
  <si>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</si>
  <si>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</si>
  <si>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</si>
  <si>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</si>
  <si>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</si>
  <si>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</si>
  <si>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</si>
  <si>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</si>
  <si>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</si>
  <si>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</si>
  <si>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</si>
  <si>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</si>
  <si>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</si>
  <si>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</si>
  <si>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</si>
  <si>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</si>
  <si>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</si>
  <si>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</si>
  <si>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</si>
  <si>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</si>
  <si>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</si>
  <si>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</si>
  <si>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</si>
  <si>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</si>
  <si>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</si>
  <si>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</si>
  <si>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</si>
  <si>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</si>
  <si>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</si>
  <si>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</si>
  <si>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</si>
  <si>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</si>
  <si>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</si>
  <si>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</si>
  <si>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</si>
  <si>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</si>
  <si>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</si>
  <si>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</si>
  <si>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</si>
  <si>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</si>
  <si>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</si>
  <si>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</si>
  <si>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</si>
  <si>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</si>
  <si>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</si>
  <si>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</si>
  <si>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</si>
  <si>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</si>
  <si>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</si>
  <si>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</si>
  <si>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</si>
  <si>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</si>
  <si>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</si>
  <si>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</si>
  <si>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</si>
  <si>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</si>
  <si>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</si>
  <si>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</si>
  <si>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</si>
  <si>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</si>
  <si>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</si>
  <si>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</si>
  <si>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</si>
  <si>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</si>
  <si>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</si>
  <si>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</si>
  <si>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</si>
  <si>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</si>
  <si>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</si>
  <si>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</si>
  <si>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</si>
  <si>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</si>
  <si>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</si>
  <si>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</si>
  <si>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</si>
  <si>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</si>
  <si>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</si>
  <si>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</si>
  <si>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</si>
  <si>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</si>
  <si>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</si>
  <si>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</si>
  <si>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</si>
  <si>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</si>
  <si>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</si>
  <si>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</si>
  <si>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</si>
  <si>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</si>
  <si>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</si>
  <si>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</si>
  <si>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</si>
  <si>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</si>
  <si>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</si>
  <si>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</si>
  <si>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</si>
  <si>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</si>
  <si>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</si>
  <si>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</si>
  <si>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</si>
  <si>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</si>
  <si>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</si>
  <si>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</si>
  <si>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</si>
  <si>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</si>
  <si>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</si>
  <si>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</si>
  <si>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</si>
  <si>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</si>
  <si>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</si>
  <si>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</si>
  <si>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</si>
  <si>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</si>
  <si>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</si>
  <si>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</si>
  <si>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</si>
  <si>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</si>
  <si>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</si>
  <si>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</si>
  <si>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</si>
  <si>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</si>
  <si>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</si>
  <si>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</si>
  <si>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</si>
  <si>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</si>
  <si>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</si>
  <si>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</si>
  <si>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</si>
  <si>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</si>
  <si>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</si>
  <si>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</si>
  <si>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</si>
  <si>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</si>
  <si>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</si>
  <si>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</si>
  <si>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</si>
  <si>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</si>
  <si>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</si>
  <si>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</si>
  <si>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</si>
  <si>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</si>
  <si>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</si>
  <si>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</si>
  <si>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</si>
  <si>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</si>
  <si>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</si>
  <si>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</si>
  <si>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</si>
  <si>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</si>
  <si>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</si>
  <si>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</si>
  <si>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</si>
  <si>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</si>
  <si>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</si>
  <si>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</si>
  <si>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</si>
  <si>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</si>
  <si>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</si>
  <si>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</si>
  <si>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</si>
  <si>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</si>
  <si>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</si>
  <si>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</si>
  <si>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</si>
  <si>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</si>
  <si>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</si>
  <si>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</si>
  <si>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</si>
  <si>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</si>
  <si>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</si>
  <si>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</si>
  <si>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</si>
  <si>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</si>
  <si>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</si>
  <si>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</si>
  <si>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</si>
  <si>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</si>
  <si>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</si>
  <si>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</si>
  <si>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</si>
  <si>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</si>
  <si>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</si>
  <si>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</si>
  <si>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</si>
  <si>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</si>
  <si>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</si>
  <si>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</si>
  <si>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</si>
  <si>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</si>
  <si>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</si>
  <si>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</si>
  <si>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</si>
  <si>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</si>
  <si>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</si>
  <si>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</si>
  <si>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</si>
  <si>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</si>
  <si>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</si>
  <si>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</si>
  <si>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</si>
  <si>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</si>
  <si>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</si>
  <si>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</si>
  <si>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</si>
  <si>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</si>
  <si>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</si>
  <si>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</si>
  <si>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</si>
  <si>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</si>
  <si>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</si>
  <si>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</si>
  <si>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</si>
  <si>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</si>
  <si>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</si>
  <si>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</si>
  <si>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</si>
  <si>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</si>
  <si>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</si>
  <si>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</si>
  <si>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</si>
  <si>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</si>
  <si>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</si>
  <si>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</si>
  <si>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</si>
  <si>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</si>
  <si>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</si>
  <si>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</si>
  <si>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</si>
  <si>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</si>
  <si>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</si>
  <si>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</si>
  <si>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</si>
  <si>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</si>
  <si>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</si>
  <si>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</si>
  <si>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</si>
  <si>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</si>
  <si>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</si>
  <si>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</si>
  <si>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</si>
  <si>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</si>
  <si>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</si>
  <si>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</si>
  <si>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</si>
  <si>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</si>
  <si>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</si>
  <si>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</si>
  <si>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</si>
  <si>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</si>
  <si>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</si>
  <si>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</si>
  <si>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</si>
  <si>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</si>
  <si>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</si>
  <si>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</si>
  <si>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</si>
  <si>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</si>
  <si>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</si>
  <si>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</si>
  <si>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</si>
  <si>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</si>
  <si>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</si>
  <si>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</si>
  <si>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</si>
  <si>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</si>
  <si>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</si>
  <si>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</si>
  <si>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</si>
  <si>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</si>
  <si>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</si>
  <si>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</si>
  <si>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</si>
  <si>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</si>
  <si>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</si>
  <si>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</si>
  <si>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</si>
  <si>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</si>
  <si>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</si>
  <si>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</si>
  <si>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</si>
  <si>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</si>
  <si>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</si>
  <si>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</si>
  <si>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</si>
  <si>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</si>
  <si>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</si>
  <si>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</si>
  <si>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</si>
  <si>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</si>
  <si>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</si>
  <si>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</si>
  <si>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</si>
  <si>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</si>
  <si>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</si>
  <si>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</si>
  <si>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</si>
  <si>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</si>
  <si>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</si>
  <si>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</si>
  <si>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</si>
  <si>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</si>
  <si>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</si>
  <si>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</si>
  <si>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</si>
  <si>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</si>
  <si>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</si>
  <si>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</si>
  <si>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</si>
  <si>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</si>
  <si>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</si>
  <si>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</si>
  <si>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</si>
  <si>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</si>
  <si>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</si>
  <si>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</si>
  <si>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</si>
  <si>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</si>
  <si>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</si>
  <si>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</si>
  <si>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</si>
  <si>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</si>
  <si>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</si>
  <si>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</si>
  <si>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</si>
  <si>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</si>
  <si>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</si>
  <si>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</si>
  <si>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</si>
  <si>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</si>
  <si>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</si>
  <si>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</si>
  <si>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</si>
  <si>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</si>
  <si>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</si>
  <si>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</si>
  <si>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</si>
  <si>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</si>
  <si>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</si>
  <si>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</si>
  <si>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</si>
  <si>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</si>
  <si>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</si>
  <si>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</si>
  <si>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</si>
  <si>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</si>
  <si>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</si>
  <si>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</si>
  <si>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</si>
  <si>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</si>
  <si>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</si>
  <si>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</si>
  <si>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</si>
  <si>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</si>
  <si>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</si>
  <si>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</si>
  <si>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</si>
  <si>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</si>
  <si>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</si>
  <si>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</si>
  <si>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</si>
  <si>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</si>
  <si>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</si>
  <si>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</si>
  <si>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</si>
  <si>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</si>
  <si>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</si>
  <si>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</si>
  <si>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</si>
  <si>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</si>
  <si>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</si>
  <si>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</si>
  <si>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</si>
  <si>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</si>
  <si>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</si>
  <si>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</si>
  <si>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</si>
  <si>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</si>
  <si>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</si>
  <si>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</si>
  <si>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</si>
  <si>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</si>
  <si>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</si>
  <si>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</si>
  <si>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</si>
  <si>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</si>
  <si>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</si>
  <si>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</si>
  <si>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</si>
  <si>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</si>
  <si>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</si>
  <si>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</si>
  <si>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</si>
  <si>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</si>
  <si>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</si>
  <si>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</si>
  <si>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</si>
  <si>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</si>
  <si>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</si>
  <si>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</si>
  <si>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</si>
  <si>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</si>
  <si>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</si>
  <si>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</si>
  <si>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</si>
  <si>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</si>
  <si>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</si>
  <si>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</si>
  <si>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</si>
  <si>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</si>
  <si>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</si>
  <si>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</si>
  <si>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</si>
  <si>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</si>
  <si>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</si>
  <si>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</si>
  <si>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</si>
  <si>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</si>
  <si>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</si>
  <si>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</si>
  <si>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</si>
  <si>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</si>
  <si>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</si>
  <si>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</si>
  <si>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</si>
  <si>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</si>
  <si>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</si>
  <si>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</si>
  <si>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</si>
  <si>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</si>
  <si>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</si>
  <si>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</si>
  <si>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</si>
  <si>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</si>
  <si>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</si>
  <si>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</si>
  <si>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</si>
  <si>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</si>
  <si>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</si>
  <si>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</si>
  <si>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</si>
  <si>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</si>
  <si>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</si>
  <si>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</si>
  <si>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</si>
  <si>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</si>
  <si>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</si>
  <si>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</si>
  <si>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</si>
  <si>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</si>
  <si>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</si>
  <si>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</si>
  <si>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</si>
  <si>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</si>
  <si>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</si>
  <si>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</si>
  <si>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</si>
  <si>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</si>
  <si>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</si>
  <si>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</si>
  <si>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</si>
  <si>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</si>
  <si>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</si>
  <si>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</si>
  <si>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</si>
  <si>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</si>
  <si>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</si>
  <si>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</si>
  <si>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</si>
  <si>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</si>
  <si>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</si>
  <si>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</si>
  <si>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</si>
  <si>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</si>
  <si>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</si>
  <si>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</si>
  <si>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</si>
  <si>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</si>
  <si>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</si>
  <si>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</si>
  <si>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</si>
  <si>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</si>
  <si>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</si>
  <si>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</si>
  <si>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</si>
  <si>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</si>
  <si>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</si>
  <si>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</si>
  <si>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</si>
  <si>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</si>
  <si>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</si>
  <si>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</si>
  <si>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</si>
  <si>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</si>
  <si>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</si>
  <si>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</si>
  <si>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</si>
  <si>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</si>
  <si>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</si>
  <si>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</si>
  <si>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</si>
  <si>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</si>
  <si>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</si>
  <si>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</si>
  <si>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</si>
  <si>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</si>
  <si>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</si>
  <si>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</si>
  <si>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</si>
  <si>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</si>
  <si>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</si>
  <si>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</si>
  <si>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</si>
  <si>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</si>
  <si>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</si>
  <si>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</si>
  <si>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</si>
  <si>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</si>
  <si>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</si>
  <si>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</si>
  <si>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</si>
  <si>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</si>
  <si>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</si>
  <si>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</si>
  <si>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</si>
  <si>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</si>
  <si>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</si>
  <si>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</si>
  <si>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</si>
  <si>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</si>
  <si>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</si>
  <si>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</si>
  <si>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</si>
  <si>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</si>
  <si>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</si>
  <si>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</si>
  <si>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</si>
  <si>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</si>
  <si>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</si>
  <si>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</si>
  <si>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</si>
  <si>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</si>
  <si>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</si>
  <si>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</si>
  <si>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</si>
  <si>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</si>
  <si>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</si>
  <si>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</si>
  <si>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</si>
  <si>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</si>
  <si>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</si>
  <si>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</si>
  <si>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</si>
  <si>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</si>
  <si>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</si>
  <si>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</si>
  <si>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</si>
  <si>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</si>
  <si>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</si>
  <si>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</si>
  <si>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</si>
  <si>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</si>
  <si>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</si>
  <si>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</si>
  <si>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</si>
  <si>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</si>
  <si>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</si>
  <si>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</si>
  <si>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</si>
  <si>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</si>
  <si>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</si>
  <si>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</si>
  <si>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</si>
  <si>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</si>
  <si>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</si>
  <si>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</si>
  <si>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</si>
  <si>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</si>
  <si>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</si>
  <si>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</si>
  <si>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</si>
  <si>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</si>
  <si>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</si>
  <si>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</si>
  <si>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</si>
  <si>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</si>
  <si>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</si>
  <si>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</si>
  <si>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</si>
  <si>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</si>
  <si>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</si>
  <si>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</si>
  <si>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</si>
  <si>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</si>
  <si>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</si>
  <si>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</si>
  <si>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</si>
  <si>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</si>
  <si>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</si>
  <si>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</si>
  <si>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</si>
  <si>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</si>
  <si>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</si>
  <si>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</si>
  <si>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</si>
  <si>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</si>
  <si>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</si>
  <si>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</si>
  <si>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</si>
  <si>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</si>
  <si>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</si>
  <si>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</si>
  <si>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</si>
  <si>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</si>
  <si>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</si>
  <si>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</si>
  <si>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</si>
  <si>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</si>
  <si>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</si>
  <si>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</si>
  <si>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</si>
  <si>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</si>
  <si>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</si>
  <si>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</si>
  <si>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</si>
  <si>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</si>
  <si>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</si>
  <si>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</si>
  <si>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</si>
  <si>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</si>
  <si>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</si>
  <si>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</si>
  <si>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</si>
  <si>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</si>
  <si>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</si>
  <si>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</si>
  <si>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</si>
  <si>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</si>
  <si>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</si>
  <si>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</si>
  <si>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</si>
  <si>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</si>
  <si>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</si>
  <si>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</si>
  <si>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</si>
  <si>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</si>
  <si>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</si>
  <si>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</si>
  <si>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</si>
  <si>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</si>
  <si>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</si>
  <si>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</si>
  <si>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</si>
  <si>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</si>
  <si>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</si>
  <si>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</si>
  <si>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</si>
  <si>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</si>
  <si>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</si>
  <si>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</si>
  <si>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</si>
  <si>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</si>
  <si>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</si>
  <si>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</si>
  <si>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</si>
  <si>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</si>
  <si>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</si>
  <si>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</si>
  <si>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</si>
  <si>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</si>
  <si>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</si>
  <si>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</si>
  <si>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</si>
  <si>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</si>
  <si>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</si>
  <si>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</si>
  <si>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</si>
  <si>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</si>
  <si>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</si>
  <si>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</si>
  <si>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</si>
  <si>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</si>
  <si>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</si>
  <si>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</si>
  <si>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</si>
  <si>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</si>
  <si>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</si>
  <si>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</si>
  <si>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</si>
  <si>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</si>
  <si>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</si>
  <si>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</si>
  <si>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</si>
  <si>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</si>
  <si>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</si>
  <si>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</si>
  <si>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</si>
  <si>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</si>
  <si>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</si>
  <si>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</si>
  <si>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</si>
  <si>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</si>
  <si>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</si>
  <si>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</si>
  <si>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</si>
  <si>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</si>
  <si>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</si>
  <si>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</si>
  <si>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</si>
  <si>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</si>
  <si>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</si>
  <si>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</si>
  <si>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</si>
  <si>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</si>
  <si>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</si>
  <si>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</si>
  <si>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</si>
  <si>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</si>
  <si>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</si>
  <si>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</si>
  <si>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</si>
  <si>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</si>
  <si>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</si>
  <si>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</si>
  <si>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</si>
  <si>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</si>
  <si>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</si>
  <si>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</si>
  <si>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</si>
  <si>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</si>
  <si>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</si>
  <si>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</si>
  <si>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</si>
  <si>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</si>
  <si>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</si>
  <si>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</si>
  <si>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</si>
  <si>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</si>
  <si>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</si>
  <si>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</si>
  <si>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</si>
  <si>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</si>
  <si>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</si>
  <si>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</si>
  <si>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</si>
  <si>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</si>
  <si>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</si>
  <si>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</si>
  <si>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</si>
  <si>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</si>
  <si>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</si>
  <si>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</si>
  <si>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</si>
  <si>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</si>
  <si>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</si>
  <si>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</si>
  <si>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</si>
  <si>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</si>
  <si>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</si>
  <si>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</si>
  <si>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</si>
  <si>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</si>
  <si>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</si>
  <si>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</si>
  <si>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</si>
  <si>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</si>
  <si>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</si>
  <si>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</si>
  <si>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</si>
  <si>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</si>
  <si>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</si>
  <si>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</si>
  <si>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</si>
  <si>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</si>
  <si>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</si>
  <si>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</si>
  <si>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</si>
  <si>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</si>
  <si>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</si>
  <si>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</si>
  <si>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</si>
  <si>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</si>
  <si>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</si>
  <si>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</si>
  <si>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</si>
  <si>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</si>
  <si>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</si>
  <si>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</si>
  <si>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</si>
  <si>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</si>
  <si>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</si>
  <si>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</si>
  <si>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</si>
  <si>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</si>
  <si>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</si>
  <si>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</si>
  <si>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</si>
  <si>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</si>
  <si>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</si>
  <si>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</si>
  <si>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</si>
  <si>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</si>
  <si>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</si>
  <si>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</si>
  <si>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</si>
  <si>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</si>
  <si>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</si>
  <si>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</si>
  <si>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</si>
  <si>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</si>
  <si>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</si>
  <si>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</si>
  <si>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</si>
  <si>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</si>
  <si>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</si>
  <si>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</si>
  <si>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</si>
  <si>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</si>
  <si>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</si>
  <si>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</si>
  <si>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</si>
  <si>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</si>
  <si>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</si>
  <si>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</si>
  <si>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</si>
  <si>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</si>
  <si>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</si>
  <si>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</si>
  <si>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</si>
  <si>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</si>
  <si>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</si>
  <si>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</si>
  <si>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</si>
  <si>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</si>
  <si>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</si>
  <si>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</si>
  <si>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</si>
  <si>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</si>
  <si>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</si>
  <si>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</si>
  <si>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</si>
  <si>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</si>
  <si>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</si>
  <si>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</si>
  <si>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</si>
  <si>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</si>
  <si>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</si>
  <si>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</si>
  <si>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</si>
  <si>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</si>
  <si>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</si>
  <si>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</si>
  <si>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</si>
  <si>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</si>
  <si>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</si>
  <si>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</si>
  <si>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</si>
  <si>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</si>
  <si>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</si>
  <si>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</si>
  <si>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</si>
  <si>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</si>
  <si>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</si>
  <si>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</si>
  <si>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</si>
  <si>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</si>
  <si>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</si>
  <si>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</si>
  <si>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</si>
  <si>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</si>
  <si>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</si>
  <si>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</si>
  <si>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</si>
  <si>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</si>
  <si>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</si>
  <si>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</si>
  <si>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</si>
  <si>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</si>
  <si>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</si>
  <si>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</si>
  <si>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</si>
  <si>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</si>
  <si>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</si>
  <si>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</si>
  <si>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</si>
  <si>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</si>
  <si>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</si>
  <si>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</si>
  <si>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</si>
  <si>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</si>
  <si>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</si>
  <si>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</si>
  <si>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</si>
  <si>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</si>
  <si>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</si>
  <si>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</si>
  <si>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</si>
  <si>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</si>
  <si>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</si>
  <si>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</si>
  <si>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</si>
  <si>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</si>
  <si>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</si>
  <si>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</si>
  <si>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</si>
  <si>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</si>
  <si>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</si>
  <si>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</si>
  <si>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</si>
  <si>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</si>
  <si>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</si>
  <si>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</si>
  <si>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</si>
  <si>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</si>
  <si>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</si>
  <si>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</si>
  <si>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</si>
  <si>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</si>
  <si>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</si>
  <si>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</si>
  <si>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</si>
  <si>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</si>
  <si>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</si>
  <si>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</si>
  <si>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</si>
  <si>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</si>
  <si>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</si>
  <si>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</si>
  <si>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</si>
  <si>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</si>
  <si>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</si>
  <si>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</si>
  <si>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</si>
  <si>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</si>
  <si>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</si>
  <si>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</si>
  <si>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</si>
  <si>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</si>
  <si>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</si>
  <si>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</si>
  <si>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</si>
  <si>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</si>
  <si>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</si>
  <si>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</si>
  <si>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</si>
  <si>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</si>
  <si>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</si>
  <si>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</si>
  <si>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</si>
  <si>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</si>
  <si>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</si>
  <si>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</si>
  <si>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</si>
  <si>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</si>
  <si>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</si>
  <si>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</si>
  <si>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</si>
  <si>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</si>
  <si>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</si>
  <si>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</si>
  <si>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</si>
  <si>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</si>
  <si>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</si>
  <si>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</si>
  <si>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</si>
  <si>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</si>
  <si>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</si>
  <si>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</si>
  <si>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</si>
  <si>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</si>
  <si>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</si>
  <si>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</si>
  <si>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</si>
  <si>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</si>
  <si>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</si>
  <si>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</si>
  <si>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</si>
  <si>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</si>
  <si>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</si>
  <si>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</si>
  <si>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</si>
  <si>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</si>
  <si>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</si>
  <si>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</si>
  <si>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</si>
  <si>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</si>
  <si>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</si>
  <si>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</si>
  <si>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</si>
  <si>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</si>
  <si>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</si>
  <si>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</si>
  <si>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</si>
  <si>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</si>
  <si>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</si>
  <si>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</si>
  <si>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</si>
  <si>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</si>
  <si>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</si>
  <si>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</si>
  <si>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</si>
  <si>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</si>
  <si>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</si>
  <si>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</si>
  <si>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</si>
  <si>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</si>
  <si>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</si>
  <si>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</si>
  <si>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</si>
  <si>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</si>
  <si>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</si>
  <si>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</si>
  <si>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</si>
  <si>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</si>
  <si>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</si>
  <si>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</si>
  <si>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</si>
  <si>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</si>
  <si>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</si>
  <si>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</si>
  <si>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</si>
  <si>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</si>
  <si>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</si>
  <si>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</si>
  <si>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</si>
  <si>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</si>
  <si>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</si>
  <si>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</si>
  <si>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</si>
  <si>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</si>
  <si>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</si>
  <si>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</si>
  <si>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</si>
  <si>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</si>
  <si>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</si>
  <si>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</si>
  <si>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</si>
  <si>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</si>
  <si>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</si>
  <si>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</si>
  <si>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</si>
  <si>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</si>
  <si>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</si>
  <si>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</si>
  <si>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</si>
  <si>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</si>
  <si>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</si>
  <si>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</si>
  <si>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</si>
  <si>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</si>
  <si>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</si>
  <si>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</si>
  <si>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</si>
  <si>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</si>
  <si>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</si>
  <si>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</si>
  <si>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</si>
  <si>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</si>
  <si>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</si>
  <si>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</si>
  <si>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</si>
  <si>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</si>
  <si>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</si>
  <si>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</si>
  <si>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</si>
  <si>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</si>
  <si>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</si>
  <si>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</si>
  <si>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</si>
  <si>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</si>
  <si>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</si>
  <si>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</si>
  <si>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</si>
  <si>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</si>
  <si>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</si>
  <si>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</si>
  <si>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</si>
  <si>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</si>
  <si>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</si>
  <si>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</si>
  <si>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</si>
  <si>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</si>
  <si>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</si>
  <si>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</si>
  <si>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</si>
  <si>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</si>
  <si>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</si>
  <si>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</si>
  <si>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</si>
  <si>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</si>
  <si>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</si>
  <si>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</si>
  <si>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</si>
  <si>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</si>
  <si>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</si>
  <si>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</si>
  <si>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</si>
  <si>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</si>
  <si>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</si>
  <si>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</si>
  <si>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</si>
  <si>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</si>
  <si>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</si>
  <si>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</si>
  <si>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</si>
  <si>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</si>
  <si>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</si>
  <si>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</si>
  <si>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</si>
  <si>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</si>
  <si>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</si>
  <si>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</si>
  <si>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</si>
  <si>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</si>
  <si>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</si>
  <si>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</si>
  <si>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</si>
  <si>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</si>
  <si>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</si>
  <si>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</si>
  <si>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</si>
  <si>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</si>
  <si>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</si>
  <si>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</si>
  <si>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</si>
  <si>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</si>
  <si>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</si>
  <si>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</si>
  <si>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</si>
  <si>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</si>
  <si>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</si>
  <si>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</si>
  <si>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</si>
  <si>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</si>
  <si>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</si>
  <si>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</si>
  <si>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</si>
  <si>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</si>
  <si>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</si>
  <si>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</si>
  <si>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</si>
  <si>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</si>
  <si>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</si>
  <si>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</si>
  <si>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</si>
  <si>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</si>
  <si>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</si>
  <si>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</si>
  <si>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</si>
  <si>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</si>
  <si>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</si>
  <si>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</si>
  <si>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</si>
  <si>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</si>
  <si>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</si>
  <si>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</si>
  <si>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</si>
  <si>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</si>
  <si>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</si>
  <si>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</si>
  <si>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</si>
  <si>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</si>
  <si>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</si>
  <si>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</si>
  <si>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</si>
  <si>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</si>
  <si>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</si>
  <si>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</si>
  <si>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</si>
  <si>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</si>
  <si>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</si>
  <si>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</si>
  <si>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</si>
  <si>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</si>
  <si>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</si>
  <si>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</si>
  <si>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</si>
  <si>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</si>
  <si>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</si>
  <si>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</si>
  <si>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</si>
  <si>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</si>
  <si>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</si>
  <si>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</si>
  <si>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</si>
  <si>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</si>
  <si>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</si>
  <si>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</si>
  <si>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</si>
  <si>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</si>
  <si>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</si>
  <si>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</si>
  <si>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</si>
  <si>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</si>
  <si>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</si>
  <si>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</si>
  <si>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</si>
  <si>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</si>
  <si>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</si>
  <si>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</si>
  <si>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</si>
  <si>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</si>
  <si>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</si>
  <si>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</si>
  <si>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</si>
  <si>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</si>
  <si>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</si>
  <si>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</si>
  <si>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</si>
  <si>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</si>
  <si>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</si>
  <si>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</si>
  <si>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</si>
  <si>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</si>
  <si>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</si>
  <si>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</si>
  <si>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</si>
  <si>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</si>
  <si>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</si>
  <si>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</si>
  <si>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</si>
  <si>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</si>
  <si>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</si>
  <si>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</si>
  <si>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</si>
  <si>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</si>
  <si>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</si>
  <si>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</si>
  <si>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</si>
  <si>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</si>
  <si>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</si>
  <si>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</si>
  <si>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</si>
  <si>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</si>
  <si>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</si>
  <si>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</si>
  <si>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</si>
  <si>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</si>
  <si>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</si>
  <si>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</si>
  <si>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</si>
  <si>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</si>
  <si>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</si>
  <si>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</si>
  <si>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</si>
  <si>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</si>
  <si>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</si>
  <si>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</si>
  <si>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</si>
  <si>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</si>
  <si>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</si>
  <si>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</si>
  <si>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</si>
  <si>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</si>
  <si>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</si>
  <si>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</si>
  <si>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</si>
  <si>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</si>
  <si>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</si>
  <si>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</si>
  <si>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</si>
  <si>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</si>
  <si>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</si>
  <si>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</si>
  <si>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</si>
  <si>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</si>
  <si>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</si>
  <si>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</si>
  <si>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</si>
  <si>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</si>
  <si>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</si>
  <si>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</si>
  <si>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</si>
  <si>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</si>
  <si>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</si>
  <si>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</si>
  <si>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</si>
  <si>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</si>
  <si>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</si>
  <si>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</si>
  <si>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</si>
  <si>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</si>
  <si>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</si>
  <si>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</si>
  <si>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</si>
  <si>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</si>
  <si>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</si>
  <si>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</si>
  <si>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</si>
  <si>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</si>
  <si>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</si>
  <si>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</si>
  <si>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</si>
  <si>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</si>
  <si>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</si>
  <si>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</si>
  <si>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</si>
  <si>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</si>
  <si>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</si>
  <si>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</si>
  <si>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</si>
  <si>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</si>
  <si>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</si>
  <si>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</si>
  <si>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</si>
  <si>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</si>
  <si>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</si>
  <si>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</si>
  <si>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</si>
  <si>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</si>
  <si>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</si>
  <si>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</si>
  <si>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</si>
  <si>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</si>
  <si>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</si>
  <si>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</si>
  <si>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</si>
  <si>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</si>
  <si>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</si>
  <si>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</si>
  <si>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</si>
  <si>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</si>
  <si>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</si>
  <si>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</si>
  <si>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</si>
  <si>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</si>
  <si>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</si>
  <si>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</si>
  <si>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</si>
  <si>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</si>
  <si>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</si>
  <si>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</si>
  <si>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</si>
  <si>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</si>
  <si>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</si>
  <si>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</si>
  <si>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</si>
  <si>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</si>
  <si>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</si>
  <si>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</si>
  <si>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</si>
  <si>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</si>
  <si>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</si>
  <si>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</si>
  <si>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</si>
  <si>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</si>
  <si>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</si>
  <si>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</si>
  <si>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</si>
  <si>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</si>
  <si>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</si>
  <si>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</si>
  <si>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</si>
  <si>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</si>
  <si>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</si>
  <si>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</si>
  <si>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</si>
  <si>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</si>
  <si>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</si>
  <si>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</si>
  <si>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</si>
  <si>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</si>
  <si>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</si>
  <si>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</si>
  <si>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</si>
  <si>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</si>
  <si>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</si>
  <si>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</si>
  <si>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</si>
  <si>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</si>
  <si>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</si>
  <si>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</si>
  <si>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</si>
  <si>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</si>
  <si>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</si>
  <si>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</si>
  <si>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</si>
  <si>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</si>
  <si>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</si>
  <si>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</si>
  <si>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</si>
  <si>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</si>
  <si>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</si>
  <si>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</si>
  <si>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</si>
  <si>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</si>
  <si>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</si>
  <si>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</si>
  <si>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</si>
  <si>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</si>
  <si>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</si>
  <si>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</si>
  <si>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</si>
  <si>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</si>
  <si>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</si>
  <si>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</si>
  <si>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</si>
  <si>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</si>
  <si>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</si>
  <si>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</si>
  <si>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</si>
  <si>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</si>
  <si>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</si>
  <si>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</si>
  <si>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</si>
  <si>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</si>
  <si>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</si>
  <si>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</si>
  <si>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</si>
  <si>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</si>
  <si>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</si>
  <si>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</si>
  <si>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</si>
  <si>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</si>
  <si>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</si>
  <si>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</si>
  <si>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</si>
  <si>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</si>
  <si>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</si>
  <si>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</si>
  <si>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</si>
  <si>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</si>
  <si>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</si>
  <si>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</si>
  <si>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</si>
  <si>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</si>
  <si>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</si>
  <si>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</si>
  <si>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</si>
  <si>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</si>
  <si>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</si>
  <si>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</si>
  <si>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</si>
  <si>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</si>
  <si>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</si>
  <si>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</si>
  <si>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</si>
  <si>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</si>
  <si>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</si>
  <si>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</si>
  <si>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</si>
  <si>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</si>
  <si>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</si>
  <si>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</si>
  <si>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</si>
  <si>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</si>
  <si>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</si>
  <si>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</si>
  <si>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</si>
  <si>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</si>
  <si>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</si>
  <si>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</si>
  <si>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</si>
  <si>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</si>
  <si>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</si>
  <si>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</si>
  <si>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</si>
  <si>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</si>
  <si>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</si>
  <si>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</si>
  <si>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</si>
  <si>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</si>
  <si>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</si>
  <si>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</si>
  <si>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</si>
  <si>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</si>
  <si>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</si>
  <si>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</si>
  <si>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</si>
  <si>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</si>
  <si>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</si>
  <si>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</si>
  <si>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</si>
  <si>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</si>
  <si>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</si>
  <si>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</si>
  <si>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</si>
  <si>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</si>
  <si>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</si>
  <si>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</si>
  <si>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</si>
  <si>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</si>
  <si>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</si>
  <si>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</si>
  <si>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</si>
  <si>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</si>
  <si>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</si>
  <si>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</si>
  <si>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</si>
  <si>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</si>
  <si>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</si>
  <si>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</si>
  <si>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</si>
  <si>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</si>
  <si>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</si>
  <si>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</si>
  <si>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</si>
  <si>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</si>
  <si>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</si>
  <si>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</si>
  <si>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</si>
  <si>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</si>
  <si>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</si>
  <si>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</si>
  <si>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</si>
  <si>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</si>
  <si>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</si>
  <si>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</si>
  <si>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</si>
  <si>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</si>
  <si>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</si>
  <si>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</si>
  <si>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</si>
  <si>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</si>
  <si>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</si>
  <si>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</si>
  <si>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</si>
  <si>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</si>
  <si>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</si>
  <si>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</si>
  <si>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</si>
  <si>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</si>
  <si>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</si>
  <si>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</si>
  <si>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</si>
  <si>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</si>
  <si>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</si>
  <si>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</si>
  <si>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</si>
  <si>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</si>
  <si>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</si>
  <si>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</si>
  <si>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</si>
  <si>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</si>
  <si>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</si>
  <si>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</si>
  <si>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</si>
  <si>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</si>
  <si>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</si>
  <si>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</si>
  <si>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</si>
  <si>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</si>
  <si>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</si>
  <si>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</si>
  <si>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</si>
  <si>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</si>
  <si>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</si>
  <si>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</si>
  <si>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</si>
  <si>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</si>
  <si>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</si>
  <si>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</si>
  <si>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</si>
  <si>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</si>
  <si>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</si>
  <si>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</si>
  <si>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</si>
  <si>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</si>
  <si>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</si>
  <si>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</si>
  <si>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</si>
  <si>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</si>
  <si>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</si>
  <si>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</si>
  <si>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</si>
  <si>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</si>
  <si>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</si>
  <si>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</si>
  <si>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</si>
  <si>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</si>
  <si>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</si>
  <si>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</si>
  <si>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</si>
  <si>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</si>
  <si>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</si>
  <si>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</si>
  <si>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</si>
  <si>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</si>
  <si>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</si>
  <si>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</si>
  <si>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</si>
  <si>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</si>
  <si>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</si>
  <si>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</si>
  <si>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</si>
  <si>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</si>
  <si>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</si>
  <si>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</si>
  <si>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</si>
  <si>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</si>
  <si>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</si>
  <si>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</si>
  <si>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</si>
  <si>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</si>
  <si>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</si>
  <si>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</si>
  <si>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</si>
  <si>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</si>
  <si>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</si>
  <si>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</si>
  <si>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</si>
  <si>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</si>
  <si>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</si>
  <si>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</si>
  <si>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</si>
  <si>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</si>
  <si>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</si>
  <si>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</si>
  <si>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</si>
  <si>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</si>
  <si>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</si>
  <si>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</si>
  <si>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</si>
  <si>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</si>
  <si>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</si>
  <si>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</si>
  <si>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</si>
  <si>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</si>
  <si>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</si>
  <si>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</si>
  <si>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</si>
  <si>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</si>
  <si>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</si>
  <si>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</si>
  <si>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</si>
  <si>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</si>
  <si>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</si>
  <si>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</si>
  <si>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</si>
  <si>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</si>
  <si>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</si>
  <si>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</si>
  <si>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</si>
  <si>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</si>
  <si>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</si>
  <si>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</si>
  <si>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</si>
  <si>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</si>
  <si>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</si>
  <si>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</si>
  <si>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</si>
  <si>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</si>
  <si>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</si>
  <si>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</si>
  <si>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</si>
  <si>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</si>
  <si>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</si>
  <si>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</si>
  <si>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</si>
  <si>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</si>
  <si>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</si>
  <si>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</si>
  <si>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</si>
  <si>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</si>
  <si>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</si>
  <si>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</si>
  <si>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</si>
  <si>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</si>
  <si>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</si>
  <si>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</si>
  <si>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</si>
  <si>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</si>
  <si>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</si>
  <si>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</si>
  <si>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</si>
  <si>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</si>
  <si>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</si>
  <si>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</si>
  <si>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</si>
  <si>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</si>
  <si>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</si>
  <si>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</si>
  <si>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</si>
  <si>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</si>
  <si>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</si>
  <si>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</si>
  <si>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</si>
  <si>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</si>
  <si>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</si>
  <si>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</si>
  <si>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</si>
  <si>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</si>
  <si>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</si>
  <si>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</si>
  <si>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</si>
  <si>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</si>
  <si>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</si>
  <si>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</si>
  <si>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</si>
  <si>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</si>
  <si>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</si>
  <si>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</si>
  <si>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</si>
  <si>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</si>
  <si>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</si>
  <si>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</si>
  <si>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</si>
  <si>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</si>
  <si>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</si>
  <si>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</si>
  <si>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</si>
  <si>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</si>
  <si>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</si>
  <si>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</si>
  <si>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</si>
  <si>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</si>
  <si>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</si>
  <si>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</si>
  <si>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</si>
  <si>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</si>
  <si>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</si>
  <si>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</si>
  <si>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</si>
  <si>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</si>
  <si>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</si>
  <si>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</si>
  <si>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</si>
  <si>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</si>
  <si>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</si>
  <si>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</si>
  <si>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</si>
  <si>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</si>
  <si>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</si>
  <si>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</si>
  <si>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</si>
  <si>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</si>
  <si>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</si>
  <si>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</si>
  <si>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</si>
  <si>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</si>
  <si>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</si>
  <si>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</si>
  <si>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</si>
  <si>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</si>
  <si>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</si>
  <si>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</si>
  <si>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</si>
  <si>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</si>
  <si>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</si>
  <si>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</si>
  <si>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</si>
  <si>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</si>
  <si>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</si>
  <si>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</si>
  <si>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</si>
  <si>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</si>
  <si>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</si>
  <si>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</si>
  <si>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</si>
  <si>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</si>
  <si>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</si>
  <si>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</si>
  <si>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</si>
  <si>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</si>
  <si>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</si>
  <si>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</si>
  <si>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</si>
  <si>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</si>
  <si>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</si>
  <si>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</si>
  <si>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</si>
  <si>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</si>
  <si>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</si>
  <si>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</si>
  <si>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</si>
  <si>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</si>
  <si>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</si>
  <si>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</si>
  <si>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</si>
  <si>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</si>
  <si>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</si>
  <si>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</si>
  <si>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</si>
  <si>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</si>
  <si>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</si>
  <si>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</si>
  <si>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</si>
  <si>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</si>
  <si>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</si>
  <si>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</si>
  <si>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</si>
  <si>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</si>
  <si>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</si>
  <si>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</si>
  <si>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</si>
  <si>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</si>
  <si>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</si>
  <si>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</si>
  <si>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</si>
  <si>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</si>
  <si>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</si>
  <si>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</si>
  <si>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</si>
  <si>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</si>
  <si>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</si>
  <si>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</si>
  <si>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</si>
  <si>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</si>
  <si>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</si>
  <si>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</si>
  <si>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</si>
  <si>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</si>
  <si>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</si>
  <si>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</si>
  <si>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</si>
  <si>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</si>
  <si>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</si>
  <si>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</si>
  <si>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</si>
  <si>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</si>
  <si>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</si>
  <si>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</si>
  <si>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</si>
  <si>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</si>
  <si>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</si>
  <si>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</si>
  <si>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</si>
  <si>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</si>
  <si>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</si>
  <si>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</si>
  <si>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</si>
  <si>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</si>
  <si>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</si>
  <si>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</si>
  <si>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</si>
  <si>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</si>
  <si>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</si>
  <si>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</si>
  <si>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</si>
  <si>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</si>
  <si>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</si>
  <si>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</si>
  <si>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</si>
  <si>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</si>
  <si>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</si>
  <si>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</si>
  <si>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</si>
  <si>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</si>
  <si>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</si>
  <si>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</si>
  <si>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</si>
  <si>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</si>
  <si>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</si>
  <si>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</si>
  <si>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</si>
  <si>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</si>
  <si>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</si>
  <si>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</si>
  <si>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</si>
  <si>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</si>
  <si>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</si>
  <si>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</si>
  <si>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</si>
  <si>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</si>
  <si>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</si>
  <si>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</si>
  <si>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</si>
  <si>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</si>
  <si>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</si>
  <si>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</si>
  <si>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</si>
  <si>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</si>
  <si>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</si>
  <si>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</si>
  <si>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</si>
  <si>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</si>
  <si>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</si>
  <si>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</si>
  <si>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</si>
  <si>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</si>
  <si>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</si>
  <si>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</si>
  <si>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</si>
  <si>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</si>
  <si>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</si>
  <si>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</si>
  <si>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</si>
  <si>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</si>
  <si>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</si>
  <si>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</si>
  <si>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</si>
  <si>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</si>
  <si>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</si>
  <si>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</si>
  <si>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</si>
  <si>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</si>
  <si>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</si>
  <si>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</si>
  <si>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</si>
  <si>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</si>
  <si>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</si>
  <si>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</si>
  <si>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</si>
  <si>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</si>
  <si>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</si>
  <si>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</si>
  <si>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</si>
  <si>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</si>
  <si>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</si>
  <si>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</si>
  <si>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</si>
  <si>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</si>
  <si>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</si>
  <si>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</si>
  <si>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</si>
  <si>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</si>
  <si>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</si>
  <si>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</si>
  <si>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</si>
  <si>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</si>
  <si>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</si>
  <si>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</si>
  <si>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</si>
  <si>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</si>
  <si>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</si>
  <si>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</si>
  <si>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</si>
  <si>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</si>
  <si>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</si>
  <si>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</si>
  <si>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</si>
  <si>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</si>
  <si>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</si>
  <si>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</si>
  <si>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</si>
  <si>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</si>
  <si>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</si>
  <si>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</si>
  <si>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</si>
  <si>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</si>
  <si>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</si>
  <si>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</si>
  <si>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</si>
  <si>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</si>
  <si>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</si>
  <si>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</si>
  <si>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</si>
  <si>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</si>
  <si>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</si>
  <si>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</si>
  <si>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</si>
  <si>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</si>
  <si>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</si>
  <si>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</si>
  <si>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</si>
  <si>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</si>
  <si>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</si>
  <si>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</si>
  <si>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</si>
  <si>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</si>
  <si>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</si>
  <si>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</si>
  <si>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</si>
  <si>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</si>
  <si>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</si>
  <si>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</si>
  <si>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</si>
  <si>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</si>
  <si>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</si>
  <si>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</si>
  <si>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</si>
  <si>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</si>
  <si>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</si>
  <si>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</si>
  <si>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</si>
  <si>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</si>
  <si>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</si>
  <si>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</si>
  <si>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</si>
  <si>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</si>
  <si>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</si>
  <si>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</si>
  <si>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</si>
  <si>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</si>
  <si>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</si>
  <si>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</si>
  <si>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</si>
  <si>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</si>
  <si>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</si>
  <si>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</si>
  <si>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</si>
  <si>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</si>
  <si>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</si>
  <si>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</si>
  <si>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</si>
  <si>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</si>
  <si>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</si>
  <si>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</si>
  <si>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</si>
  <si>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</si>
  <si>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</si>
  <si>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</si>
  <si>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</si>
  <si>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</si>
  <si>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</si>
  <si>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</si>
  <si>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</si>
  <si>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</si>
  <si>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</si>
  <si>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</si>
  <si>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</si>
  <si>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</si>
  <si>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</si>
  <si>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</si>
  <si>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</si>
  <si>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</si>
  <si>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</si>
  <si>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</si>
  <si>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</si>
  <si>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</si>
  <si>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</si>
  <si>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</si>
  <si>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</si>
  <si>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</si>
  <si>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</si>
  <si>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</si>
  <si>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</si>
  <si>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</si>
  <si>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</si>
  <si>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</si>
  <si>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</si>
  <si>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</si>
  <si>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</si>
  <si>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</si>
  <si>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</si>
  <si>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</si>
  <si>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</si>
  <si>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</si>
  <si>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</si>
  <si>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</si>
  <si>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</si>
  <si>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</si>
  <si>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</si>
  <si>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</si>
  <si>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</si>
  <si>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</si>
  <si>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</si>
  <si>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</si>
  <si>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</si>
  <si>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</si>
  <si>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</si>
  <si>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</si>
  <si>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</si>
  <si>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</si>
  <si>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</si>
  <si>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</si>
  <si>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</si>
  <si>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</si>
  <si>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</si>
  <si>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</si>
  <si>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</si>
  <si>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</si>
  <si>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</si>
  <si>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</si>
  <si>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</si>
  <si>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</si>
  <si>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</si>
  <si>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</si>
  <si>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</si>
  <si>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</si>
  <si>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</si>
  <si>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</si>
  <si>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</si>
  <si>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</si>
  <si>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</si>
  <si>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</si>
  <si>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</si>
  <si>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</si>
  <si>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</si>
  <si>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</si>
  <si>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</si>
  <si>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</si>
  <si>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</si>
  <si>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</si>
  <si>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</si>
  <si>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</si>
  <si>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</si>
  <si>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</si>
  <si>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</si>
  <si>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</si>
  <si>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</si>
  <si>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</si>
  <si>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</si>
  <si>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</si>
  <si>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</si>
  <si>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</si>
  <si>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</si>
  <si>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</si>
  <si>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</si>
  <si>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</si>
  <si>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</si>
  <si>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</si>
  <si>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</si>
  <si>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</si>
  <si>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</si>
  <si>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</si>
  <si>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</si>
  <si>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</si>
  <si>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</si>
  <si>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</si>
  <si>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</si>
  <si>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</si>
  <si>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</si>
  <si>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</si>
  <si>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</si>
  <si>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</si>
  <si>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</si>
  <si>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</si>
  <si>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</si>
  <si>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</si>
  <si>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</si>
  <si>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</si>
  <si>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</si>
  <si>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</si>
  <si>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</si>
  <si>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</si>
  <si>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</si>
  <si>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</si>
  <si>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</si>
  <si>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</si>
  <si>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</si>
  <si>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</si>
  <si>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</si>
  <si>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</si>
  <si>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</si>
  <si>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</si>
  <si>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</si>
  <si>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</si>
  <si>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</si>
  <si>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</si>
  <si>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</si>
  <si>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</si>
  <si>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</si>
  <si>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</si>
  <si>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</si>
  <si>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</si>
  <si>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</si>
  <si>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</si>
  <si>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</si>
  <si>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</si>
  <si>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</si>
  <si>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</si>
  <si>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</si>
  <si>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</si>
  <si>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</si>
  <si>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</si>
  <si>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</si>
  <si>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</si>
  <si>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</si>
  <si>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</si>
  <si>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</si>
  <si>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</si>
  <si>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</si>
  <si>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</si>
  <si>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</si>
  <si>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</si>
  <si>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</si>
  <si>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</si>
  <si>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</si>
  <si>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</si>
  <si>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</si>
  <si>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</si>
  <si>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</si>
  <si>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</si>
  <si>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</si>
  <si>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</si>
  <si>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</si>
  <si>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</si>
  <si>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</si>
  <si>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</si>
  <si>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</si>
  <si>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</si>
  <si>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</si>
  <si>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</si>
  <si>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</si>
  <si>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</si>
  <si>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</si>
  <si>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</si>
  <si>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</si>
  <si>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</si>
  <si>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</si>
  <si>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</si>
  <si>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</si>
  <si>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</si>
  <si>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</si>
  <si>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</si>
  <si>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</si>
  <si>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</si>
  <si>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</si>
  <si>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</si>
  <si>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</si>
  <si>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</si>
  <si>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</si>
  <si>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</si>
  <si>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</si>
  <si>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</si>
  <si>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</si>
  <si>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</si>
  <si>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</si>
  <si>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</si>
  <si>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</si>
  <si>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</si>
  <si>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</si>
  <si>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</si>
  <si>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</si>
  <si>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</si>
  <si>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</si>
  <si>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</si>
  <si>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</si>
  <si>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</si>
  <si>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</si>
  <si>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</si>
  <si>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</si>
  <si>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</si>
  <si>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</si>
  <si>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</si>
  <si>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</si>
  <si>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</si>
  <si>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</si>
  <si>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</si>
  <si>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</si>
  <si>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</si>
  <si>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</si>
  <si>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</si>
  <si>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</si>
  <si>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</si>
  <si>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</si>
  <si>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</si>
  <si>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</si>
  <si>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</si>
  <si>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</si>
  <si>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</si>
  <si>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</si>
  <si>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</si>
  <si>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</si>
  <si>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</si>
  <si>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</si>
  <si>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</si>
  <si>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</si>
  <si>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</si>
  <si>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</si>
  <si>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</si>
  <si>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</si>
  <si>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</si>
  <si>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</si>
  <si>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</si>
  <si>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</si>
  <si>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</si>
  <si>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</si>
  <si>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</si>
  <si>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</si>
  <si>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</si>
  <si>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</si>
  <si>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</si>
  <si>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</si>
  <si>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</si>
  <si>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</si>
  <si>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</si>
  <si>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</si>
  <si>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</si>
  <si>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</si>
  <si>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</si>
  <si>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</si>
  <si>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</si>
  <si>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</si>
  <si>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</si>
  <si>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</si>
  <si>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</si>
  <si>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</si>
  <si>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</si>
  <si>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</si>
  <si>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</si>
  <si>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</si>
  <si>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</si>
  <si>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</si>
  <si>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</si>
  <si>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</si>
  <si>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</si>
  <si>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</si>
  <si>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</si>
  <si>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</si>
  <si>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</si>
  <si>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</si>
  <si>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</si>
  <si>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</si>
  <si>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</si>
  <si>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</si>
  <si>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</si>
  <si>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</si>
  <si>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</si>
  <si>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</si>
  <si>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</si>
  <si>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</si>
  <si>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</si>
  <si>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</si>
  <si>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</si>
  <si>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</si>
  <si>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</si>
  <si>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</si>
  <si>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</si>
  <si>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</si>
  <si>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</si>
  <si>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</si>
  <si>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</si>
  <si>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</si>
  <si>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</si>
  <si>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</si>
  <si>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</si>
  <si>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</si>
  <si>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</si>
  <si>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</si>
  <si>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</si>
  <si>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</si>
  <si>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</si>
  <si>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</si>
  <si>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</si>
  <si>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</si>
  <si>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</si>
  <si>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</si>
  <si>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</si>
  <si>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</si>
  <si>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</si>
  <si>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</si>
  <si>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</si>
  <si>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</si>
  <si>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</si>
  <si>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</si>
  <si>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</si>
  <si>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</si>
  <si>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</si>
  <si>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</si>
  <si>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</si>
  <si>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</si>
  <si>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</si>
  <si>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</si>
  <si>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</si>
  <si>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</si>
  <si>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</si>
  <si>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</si>
  <si>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</si>
  <si>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</si>
  <si>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</si>
  <si>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</si>
  <si>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</si>
  <si>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</si>
  <si>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</si>
  <si>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</si>
  <si>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</si>
  <si>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</si>
  <si>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</si>
  <si>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</si>
  <si>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</si>
  <si>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</si>
  <si>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</si>
  <si>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</si>
  <si>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</si>
  <si>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</si>
  <si>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</si>
  <si>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</si>
  <si>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</si>
  <si>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</si>
  <si>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</si>
  <si>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</si>
  <si>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</si>
  <si>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</si>
  <si>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</si>
  <si>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</si>
  <si>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</si>
  <si>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</si>
  <si>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</si>
  <si>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</si>
  <si>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</si>
  <si>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</si>
  <si>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</si>
  <si>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</si>
  <si>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</si>
  <si>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</si>
  <si>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</si>
  <si>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</si>
  <si>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</si>
  <si>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</si>
  <si>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</si>
  <si>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</si>
  <si>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</si>
  <si>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</si>
  <si>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</si>
  <si>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</si>
  <si>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</si>
  <si>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</si>
  <si>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</si>
  <si>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</si>
  <si>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</si>
  <si>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</si>
  <si>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</si>
  <si>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</si>
  <si>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</si>
  <si>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</si>
  <si>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</si>
  <si>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</si>
  <si>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</si>
  <si>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</si>
  <si>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</si>
  <si>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</si>
  <si>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</si>
  <si>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</si>
  <si>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</si>
  <si>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</si>
  <si>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</si>
  <si>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</si>
  <si>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</si>
  <si>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</si>
  <si>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</si>
  <si>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</si>
  <si>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</si>
  <si>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</si>
  <si>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</si>
  <si>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</si>
  <si>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</si>
  <si>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</si>
  <si>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</si>
  <si>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</si>
  <si>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</si>
  <si>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</si>
  <si>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</si>
  <si>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</si>
  <si>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</si>
  <si>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</si>
  <si>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</si>
  <si>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</si>
  <si>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</si>
  <si>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</si>
  <si>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</si>
  <si>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</si>
  <si>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</si>
  <si>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</si>
  <si>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</si>
  <si>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</si>
  <si>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</si>
  <si>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</si>
  <si>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</si>
  <si>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</si>
  <si>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</si>
  <si>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</si>
  <si>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</si>
  <si>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</si>
  <si>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</si>
  <si>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</si>
  <si>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</si>
  <si>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</si>
  <si>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</si>
  <si>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</si>
  <si>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</si>
  <si>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</si>
  <si>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</si>
  <si>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</si>
  <si>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</si>
  <si>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</si>
  <si>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</si>
  <si>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</si>
  <si>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</si>
  <si>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</si>
  <si>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</si>
  <si>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</si>
  <si>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</si>
  <si>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</si>
  <si>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</si>
  <si>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</si>
  <si>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</si>
  <si>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</si>
  <si>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</si>
  <si>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</si>
  <si>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</si>
  <si>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</si>
  <si>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</si>
  <si>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</si>
  <si>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</si>
  <si>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</si>
  <si>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</si>
  <si>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</si>
  <si>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</si>
  <si>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</si>
  <si>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</si>
  <si>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</si>
  <si>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</si>
  <si>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</si>
  <si>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</si>
  <si>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</si>
  <si>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</si>
  <si>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</si>
  <si>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</si>
  <si>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</si>
  <si>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</si>
  <si>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</si>
  <si>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</si>
  <si>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</si>
  <si>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</si>
  <si>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</si>
  <si>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</si>
  <si>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</si>
  <si>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</si>
  <si>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</si>
  <si>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</si>
  <si>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</si>
  <si>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</si>
  <si>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</si>
  <si>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</si>
  <si>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</si>
  <si>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</si>
  <si>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</si>
  <si>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</si>
  <si>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</si>
  <si>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</si>
  <si>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</si>
  <si>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</si>
  <si>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</si>
  <si>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</si>
  <si>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</si>
  <si>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</si>
  <si>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</si>
  <si>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</si>
  <si>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</si>
  <si>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</si>
  <si>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</si>
  <si>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</si>
  <si>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</si>
  <si>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</si>
  <si>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</si>
  <si>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</si>
  <si>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</si>
  <si>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</si>
  <si>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</si>
  <si>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</si>
  <si>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</si>
  <si>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</si>
  <si>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</si>
  <si>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</si>
  <si>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</si>
  <si>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</si>
  <si>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</si>
  <si>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</si>
  <si>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</si>
  <si>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</si>
  <si>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</si>
  <si>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</si>
  <si>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</si>
  <si>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</si>
  <si>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</si>
  <si>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</si>
  <si>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</si>
  <si>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</si>
  <si>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</si>
  <si>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</si>
  <si>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</si>
  <si>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</si>
  <si>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</si>
  <si>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</si>
  <si>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</si>
  <si>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</si>
  <si>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</si>
  <si>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</si>
  <si>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</si>
  <si>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</si>
  <si>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</si>
  <si>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</si>
  <si>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</si>
  <si>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</si>
  <si>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</si>
  <si>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</si>
  <si>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</si>
  <si>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</si>
  <si>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</si>
  <si>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</si>
  <si>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</si>
  <si>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</si>
  <si>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</si>
  <si>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</si>
  <si>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</si>
  <si>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</si>
  <si>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</si>
  <si>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</si>
  <si>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</si>
  <si>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</si>
  <si>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</si>
  <si>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</si>
  <si>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</si>
  <si>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</si>
  <si>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</si>
  <si>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</si>
  <si>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</si>
  <si>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</si>
  <si>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</si>
  <si>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</si>
  <si>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</si>
  <si>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</si>
  <si>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</si>
  <si>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</si>
  <si>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</si>
  <si>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</si>
  <si>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</si>
  <si>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</si>
  <si>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</si>
  <si>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</si>
  <si>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</si>
  <si>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</si>
  <si>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</si>
  <si>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</si>
  <si>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</si>
  <si>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</si>
  <si>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</si>
  <si>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</si>
  <si>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</si>
  <si>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</si>
  <si>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</si>
  <si>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</si>
  <si>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</si>
  <si>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</si>
  <si>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</si>
  <si>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</si>
  <si>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</si>
  <si>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</si>
  <si>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</si>
  <si>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</si>
  <si>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</si>
  <si>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</si>
  <si>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</si>
  <si>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</si>
  <si>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</si>
  <si>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</si>
  <si>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</si>
  <si>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</si>
  <si>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</si>
  <si>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</si>
  <si>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</si>
  <si>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</si>
  <si>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</si>
  <si>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</si>
  <si>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</si>
  <si>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</si>
  <si>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</si>
  <si>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</si>
  <si>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</si>
  <si>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</si>
  <si>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</si>
  <si>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</si>
  <si>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</si>
  <si>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</si>
  <si>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</si>
  <si>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</si>
  <si>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</si>
  <si>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</si>
  <si>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</si>
  <si>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</si>
  <si>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</si>
  <si>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</si>
  <si>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</si>
  <si>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</si>
  <si>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</si>
  <si>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</si>
  <si>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</si>
  <si>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</si>
  <si>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</si>
  <si>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</si>
  <si>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</si>
  <si>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</si>
  <si>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</si>
  <si>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</si>
  <si>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</si>
  <si>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</si>
  <si>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</si>
  <si>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</si>
  <si>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</si>
  <si>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</si>
  <si>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</si>
  <si>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</si>
  <si>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</si>
  <si>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</si>
  <si>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</si>
  <si>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</si>
  <si>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</si>
  <si>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</si>
  <si>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</si>
  <si>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</si>
  <si>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</si>
  <si>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</si>
  <si>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</si>
  <si>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</si>
  <si>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</si>
  <si>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</si>
  <si>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</si>
  <si>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</si>
  <si>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</si>
  <si>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</si>
  <si>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</si>
  <si>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</si>
  <si>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</si>
  <si>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</si>
  <si>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</si>
  <si>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</si>
  <si>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</si>
  <si>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</si>
  <si>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</si>
  <si>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</si>
  <si>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</si>
  <si>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</si>
  <si>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</si>
  <si>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</si>
  <si>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</si>
  <si>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</si>
  <si>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</si>
  <si>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</si>
  <si>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</si>
  <si>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</si>
  <si>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</si>
  <si>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</si>
  <si>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</si>
  <si>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</si>
  <si>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</si>
  <si>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</si>
  <si>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</si>
  <si>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</si>
  <si>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</si>
  <si>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</si>
  <si>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</si>
  <si>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</si>
  <si>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</si>
  <si>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</si>
  <si>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</si>
  <si>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</si>
  <si>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</si>
  <si>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</si>
  <si>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</si>
  <si>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</si>
  <si>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</si>
  <si>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</si>
  <si>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</si>
  <si>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</si>
  <si>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</si>
  <si>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</si>
  <si>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</si>
  <si>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</si>
  <si>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</si>
  <si>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</si>
  <si>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</si>
  <si>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</si>
  <si>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</si>
  <si>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</si>
  <si>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</si>
  <si>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</si>
  <si>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</si>
  <si>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</si>
  <si>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</si>
  <si>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</si>
  <si>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</si>
  <si>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</si>
  <si>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</si>
  <si>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</si>
  <si>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</si>
  <si>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</si>
  <si>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</si>
  <si>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</si>
  <si>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</si>
  <si>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</si>
  <si>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</si>
  <si>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</si>
  <si>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</si>
  <si>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</si>
  <si>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</si>
  <si>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</si>
  <si>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</si>
  <si>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</si>
  <si>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</si>
  <si>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</si>
  <si>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</si>
  <si>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</si>
  <si>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</si>
  <si>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</si>
  <si>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</si>
  <si>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</si>
  <si>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</si>
  <si>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</si>
  <si>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</si>
  <si>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</si>
  <si>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</si>
  <si>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</si>
  <si>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</si>
  <si>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</si>
  <si>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</si>
  <si>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</si>
  <si>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</si>
  <si>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</si>
  <si>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</si>
  <si>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</si>
  <si>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</si>
  <si>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</si>
  <si>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</si>
  <si>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</si>
  <si>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</si>
  <si>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</si>
  <si>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</si>
  <si>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</si>
  <si>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</si>
  <si>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</si>
  <si>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</si>
  <si>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</si>
  <si>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</si>
  <si>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</si>
  <si>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</si>
  <si>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</si>
  <si>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</si>
  <si>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</si>
  <si>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</si>
  <si>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</si>
  <si>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</si>
  <si>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</si>
  <si>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</si>
  <si>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</si>
  <si>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</si>
  <si>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</si>
  <si>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</si>
  <si>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</si>
  <si>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</si>
  <si>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</si>
  <si>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</si>
  <si>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</si>
  <si>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</si>
  <si>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</si>
  <si>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</si>
  <si>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</si>
  <si>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</si>
  <si>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</si>
  <si>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</si>
  <si>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</si>
  <si>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</si>
  <si>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</si>
  <si>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</si>
  <si>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</si>
  <si>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</si>
  <si>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</si>
  <si>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</si>
  <si>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</si>
  <si>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</si>
  <si>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</si>
  <si>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</si>
  <si>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</si>
  <si>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</si>
  <si>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</si>
  <si>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</si>
  <si>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</si>
  <si>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</si>
  <si>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</si>
  <si>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</si>
  <si>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</si>
  <si>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</si>
  <si>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</si>
  <si>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</si>
  <si>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</si>
  <si>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</si>
  <si>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</si>
  <si>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</si>
  <si>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</si>
  <si>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</si>
  <si>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</si>
  <si>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</si>
  <si>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</si>
  <si>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</si>
  <si>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</si>
  <si>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</si>
  <si>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</si>
  <si>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</si>
  <si>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</si>
  <si>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</si>
  <si>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</si>
  <si>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</si>
  <si>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</si>
  <si>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</si>
  <si>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</si>
  <si>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</si>
  <si>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</si>
  <si>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</si>
  <si>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</si>
  <si>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</si>
  <si>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</si>
  <si>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</si>
  <si>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</si>
  <si>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</si>
  <si>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</si>
  <si>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</si>
  <si>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</si>
  <si>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</si>
  <si>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</si>
  <si>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</si>
  <si>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</si>
  <si>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</si>
  <si>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</si>
  <si>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</si>
  <si>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</si>
  <si>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</si>
  <si>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</si>
  <si>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</si>
  <si>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</si>
  <si>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</si>
  <si>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</si>
  <si>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</si>
  <si>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</si>
  <si>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</si>
  <si>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</si>
  <si>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</si>
  <si>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</si>
  <si>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</si>
  <si>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</si>
  <si>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</si>
  <si>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</si>
  <si>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</si>
  <si>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</si>
  <si>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</si>
  <si>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</si>
  <si>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</si>
  <si>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</si>
  <si>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</si>
  <si>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</si>
  <si>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</si>
  <si>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</si>
  <si>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</si>
  <si>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</si>
  <si>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</si>
  <si>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</si>
  <si>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</si>
  <si>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</si>
  <si>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</si>
  <si>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</si>
  <si>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</si>
  <si>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</si>
  <si>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</si>
  <si>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</si>
  <si>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</si>
  <si>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</si>
  <si>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</si>
  <si>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</si>
  <si>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</si>
  <si>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</si>
  <si>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</si>
  <si>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</si>
  <si>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</si>
  <si>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</si>
  <si>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</si>
  <si>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</si>
  <si>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</si>
  <si>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</si>
  <si>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</si>
  <si>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</si>
  <si>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</si>
  <si>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</si>
  <si>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</si>
  <si>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</si>
  <si>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</si>
  <si>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</si>
  <si>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</si>
  <si>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</si>
  <si>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</si>
  <si>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</si>
  <si>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</si>
  <si>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</si>
  <si>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</si>
  <si>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</si>
  <si>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</si>
  <si>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</si>
  <si>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</si>
  <si>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</si>
  <si>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</si>
  <si>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</si>
  <si>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</si>
  <si>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</si>
  <si>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</si>
  <si>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</si>
  <si>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</si>
  <si>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</si>
  <si>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</si>
  <si>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</si>
  <si>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</si>
  <si>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</si>
  <si>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</si>
  <si>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</si>
  <si>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</si>
  <si>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</si>
  <si>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</si>
  <si>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</si>
  <si>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</si>
  <si>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</si>
  <si>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</si>
  <si>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</si>
  <si>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</si>
  <si>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</si>
  <si>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</si>
  <si>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</si>
  <si>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</si>
  <si>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</si>
  <si>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</si>
  <si>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</si>
  <si>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</si>
  <si>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</si>
  <si>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</si>
  <si>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</si>
  <si>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</si>
  <si>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</si>
  <si>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</si>
  <si>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</si>
  <si>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</si>
  <si>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</si>
  <si>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</si>
  <si>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</si>
  <si>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</si>
  <si>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</si>
  <si>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</si>
  <si>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</si>
  <si>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</si>
  <si>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</si>
  <si>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</si>
  <si>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</si>
  <si>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</si>
  <si>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</si>
  <si>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</si>
  <si>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</si>
  <si>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</si>
  <si>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</si>
  <si>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</si>
  <si>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</si>
  <si>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</si>
  <si>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</si>
  <si>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</si>
  <si>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</si>
  <si>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</si>
  <si>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</si>
  <si>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</si>
  <si>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</si>
  <si>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</si>
  <si>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</si>
  <si>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</si>
  <si>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</si>
  <si>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</si>
  <si>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</si>
  <si>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</si>
  <si>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</si>
  <si>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</si>
  <si>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</si>
  <si>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</si>
  <si>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</si>
  <si>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</si>
  <si>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</si>
  <si>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</si>
  <si>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</si>
  <si>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</si>
  <si>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</si>
  <si>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</si>
  <si>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</si>
  <si>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</si>
  <si>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</si>
  <si>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</si>
  <si>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</si>
  <si>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</si>
  <si>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</si>
  <si>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</si>
  <si>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</si>
  <si>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</si>
  <si>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</si>
  <si>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</si>
  <si>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</si>
  <si>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</si>
  <si>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</si>
  <si>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</si>
  <si>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</si>
  <si>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</si>
  <si>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</si>
  <si>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</si>
  <si>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</si>
  <si>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</si>
  <si>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</si>
  <si>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</si>
  <si>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</si>
  <si>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</si>
  <si>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</si>
  <si>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</si>
  <si>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</si>
  <si>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</si>
  <si>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</si>
  <si>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</si>
  <si>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</si>
  <si>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</si>
  <si>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</si>
  <si>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</si>
  <si>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</si>
  <si>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</si>
  <si>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</si>
  <si>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</si>
  <si>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</si>
  <si>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</si>
  <si>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</si>
  <si>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</si>
  <si>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</si>
  <si>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</si>
  <si>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</si>
  <si>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</si>
  <si>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</si>
  <si>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</si>
  <si>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</si>
  <si>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</si>
  <si>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</si>
  <si>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</si>
  <si>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</si>
  <si>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</si>
  <si>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</si>
  <si>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</si>
  <si>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</si>
  <si>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</si>
  <si>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</si>
  <si>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</si>
  <si>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</si>
  <si>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</si>
  <si>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</si>
  <si>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</si>
  <si>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</si>
  <si>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</si>
  <si>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</si>
  <si>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</si>
  <si>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</si>
  <si>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</si>
  <si>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</si>
  <si>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</si>
  <si>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</si>
  <si>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</si>
  <si>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</si>
  <si>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</si>
  <si>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</si>
  <si>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</si>
  <si>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</si>
  <si>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</si>
  <si>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</si>
  <si>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</si>
  <si>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</si>
  <si>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</si>
  <si>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</si>
  <si>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</si>
  <si>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</si>
  <si>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</si>
  <si>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</si>
  <si>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</si>
  <si>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</si>
  <si>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</si>
  <si>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</si>
  <si>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</si>
  <si>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</si>
  <si>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</si>
  <si>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</si>
  <si>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</si>
  <si>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</si>
  <si>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</si>
  <si>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</si>
  <si>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</si>
  <si>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</si>
  <si>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</si>
  <si>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</si>
  <si>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</si>
  <si>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</si>
  <si>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</si>
  <si>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</si>
  <si>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</si>
  <si>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</si>
  <si>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</si>
  <si>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</si>
  <si>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</si>
  <si>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</si>
  <si>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</si>
  <si>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</si>
  <si>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</si>
  <si>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</si>
  <si>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</si>
  <si>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</si>
  <si>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</si>
  <si>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</si>
  <si>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</si>
  <si>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</si>
  <si>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</si>
  <si>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</si>
  <si>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</si>
  <si>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</si>
  <si>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</si>
  <si>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</si>
  <si>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</si>
  <si>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</si>
  <si>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</si>
  <si>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</si>
  <si>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</si>
  <si>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</si>
  <si>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</si>
  <si>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</si>
  <si>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</si>
  <si>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</si>
  <si>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</si>
  <si>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</si>
  <si>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</si>
  <si>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</si>
  <si>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</si>
  <si>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</si>
  <si>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</si>
  <si>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</si>
  <si>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</si>
  <si>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</si>
  <si>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</si>
  <si>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</si>
  <si>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</si>
  <si>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</si>
  <si>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</si>
  <si>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</si>
  <si>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</si>
  <si>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</si>
  <si>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</si>
  <si>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</si>
  <si>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</si>
  <si>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</si>
  <si>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</si>
  <si>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</si>
  <si>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</si>
  <si>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</si>
  <si>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</si>
  <si>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</si>
  <si>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</si>
  <si>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</si>
  <si>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</si>
  <si>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</si>
  <si>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</si>
  <si>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</si>
  <si>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</si>
  <si>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</si>
  <si>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</si>
  <si>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</si>
  <si>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</si>
  <si>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</si>
  <si>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</si>
  <si>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</si>
  <si>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</si>
  <si>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</si>
  <si>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</si>
  <si>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</si>
  <si>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</si>
  <si>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</si>
  <si>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</si>
  <si>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</si>
  <si>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</si>
  <si>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</si>
  <si>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</si>
  <si>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</si>
  <si>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</si>
  <si>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</si>
  <si>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</si>
  <si>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</si>
  <si>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</si>
  <si>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</si>
  <si>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</si>
  <si>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</si>
  <si>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</si>
  <si>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</si>
  <si>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</si>
  <si>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</si>
  <si>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</si>
  <si>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</si>
  <si>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</si>
  <si>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</si>
  <si>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</si>
  <si>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</si>
  <si>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</si>
  <si>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</si>
  <si>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</si>
  <si>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</si>
  <si>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</si>
  <si>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</si>
  <si>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</si>
  <si>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</si>
  <si>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</si>
  <si>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</si>
  <si>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</si>
  <si>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</si>
  <si>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</si>
  <si>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</si>
  <si>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</si>
  <si>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</si>
  <si>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</si>
  <si>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</si>
  <si>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</si>
  <si>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</si>
  <si>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</si>
  <si>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</si>
  <si>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</si>
  <si>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</si>
  <si>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INSTITUTO MUNICIPAL DE LA JUVENTUD DE LEON GUANAJUATO</t>
  </si>
  <si>
    <t>Al 31 de diciembre de 2020 y al 31 de diciembre de 2021 (b)</t>
  </si>
  <si>
    <t>Del 1 de enero al 31 de diciembre de 2021 (b)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</si>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</sst>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49" t="s">
        <v>829</v>
      </c>
      <c r="B1" s="150"/>
      <c r="C1" s="150"/>
      <c r="D1" s="150"/>
      <c r="E1" s="151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52" t="s">
        <v>3302</v>
      </c>
      <c r="D3" s="152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1">
    <pageSetUpPr fitToPage="1"/>
  </sheetPr>
  <dimension ref="A1:K75"/>
  <sheetViews>
    <sheetView showGridLines="0" workbookViewId="0">
      <selection activeCell="C27" sqref="C27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165" t="s">
        <v>542</v>
      </c>
      <c r="B1" s="165"/>
      <c r="C1" s="165"/>
      <c r="D1" s="165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53" t="str">
        <f>ENTE_PUBLICO_A</f>
        <v>INSTITUTO MUNICIPAL DE LA JUVENTUD DE LEON GUANAJUATO, Gobierno del Estado de Guanajuato (a)</v>
      </c>
      <c r="B2" s="154"/>
      <c r="C2" s="154"/>
      <c r="D2" s="155"/>
    </row>
    <row r="3" spans="1:11" ht="14.25" x14ac:dyDescent="0.45">
      <c r="A3" s="156" t="s">
        <v>166</v>
      </c>
      <c r="B3" s="157"/>
      <c r="C3" s="157"/>
      <c r="D3" s="158"/>
    </row>
    <row r="4" spans="1:11" ht="14.25" x14ac:dyDescent="0.45">
      <c r="A4" s="159" t="str">
        <f>TRIMESTRE</f>
        <v>Del 1 de enero al 31 de diciembre de 2021 (b)</v>
      </c>
      <c r="B4" s="160"/>
      <c r="C4" s="160"/>
      <c r="D4" s="161"/>
    </row>
    <row r="5" spans="1:11" ht="14.25" x14ac:dyDescent="0.45">
      <c r="A5" s="162" t="s">
        <v>118</v>
      </c>
      <c r="B5" s="163"/>
      <c r="C5" s="163"/>
      <c r="D5" s="164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41690432.002592862</v>
      </c>
      <c r="C8" s="40">
        <f t="shared" ref="C8:D8" si="0">SUM(C9:C11)</f>
        <v>45239793.839999996</v>
      </c>
      <c r="D8" s="40">
        <f t="shared" si="0"/>
        <v>45239793.839999996</v>
      </c>
    </row>
    <row r="9" spans="1:11" x14ac:dyDescent="0.25">
      <c r="A9" s="53" t="s">
        <v>169</v>
      </c>
      <c r="B9" s="23">
        <v>41690432.002592862</v>
      </c>
      <c r="C9" s="23">
        <v>45239793.839999996</v>
      </c>
      <c r="D9" s="23">
        <v>45239793.839999996</v>
      </c>
    </row>
    <row r="10" spans="1:11" x14ac:dyDescent="0.25">
      <c r="A10" s="53" t="s">
        <v>170</v>
      </c>
      <c r="B10" s="23">
        <v>0</v>
      </c>
      <c r="C10" s="23">
        <v>0</v>
      </c>
      <c r="D10" s="23">
        <v>0</v>
      </c>
    </row>
    <row r="11" spans="1:11" x14ac:dyDescent="0.25">
      <c r="A11" s="53" t="s">
        <v>171</v>
      </c>
      <c r="B11" s="23">
        <v>0</v>
      </c>
      <c r="C11" s="23">
        <f t="shared" ref="C11" si="1">C44</f>
        <v>0</v>
      </c>
      <c r="D11" s="23">
        <f>D44</f>
        <v>0</v>
      </c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41690432.002592862</v>
      </c>
      <c r="C13" s="40">
        <f t="shared" ref="C13:D13" si="2">C14+C15</f>
        <v>42410353.630000003</v>
      </c>
      <c r="D13" s="40">
        <f t="shared" si="2"/>
        <v>41685841.930000007</v>
      </c>
    </row>
    <row r="14" spans="1:11" x14ac:dyDescent="0.25">
      <c r="A14" s="53" t="s">
        <v>172</v>
      </c>
      <c r="B14" s="23">
        <v>41690432.002592862</v>
      </c>
      <c r="C14" s="23">
        <v>42410353.630000003</v>
      </c>
      <c r="D14" s="23">
        <v>41685841.930000007</v>
      </c>
    </row>
    <row r="15" spans="1:11" x14ac:dyDescent="0.25">
      <c r="A15" s="53" t="s">
        <v>173</v>
      </c>
      <c r="B15" s="23">
        <v>0</v>
      </c>
      <c r="C15" s="23">
        <v>0</v>
      </c>
      <c r="D15" s="23">
        <v>0</v>
      </c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 t="shared" ref="C17" si="3"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>
        <v>0</v>
      </c>
      <c r="D18" s="23">
        <v>0</v>
      </c>
    </row>
    <row r="19" spans="1:4" ht="14.25" x14ac:dyDescent="0.45">
      <c r="A19" s="53" t="s">
        <v>176</v>
      </c>
      <c r="B19" s="119">
        <v>0</v>
      </c>
      <c r="C19" s="23">
        <v>0</v>
      </c>
      <c r="D19" s="117">
        <v>0</v>
      </c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4">C8-C13+C17</f>
        <v>2829440.2099999934</v>
      </c>
      <c r="D21" s="40">
        <f t="shared" si="4"/>
        <v>3553951.909999989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0</v>
      </c>
      <c r="C23" s="40">
        <f t="shared" ref="C23:D23" si="5">C21-C11</f>
        <v>2829440.2099999934</v>
      </c>
      <c r="D23" s="40">
        <f t="shared" si="5"/>
        <v>3553951.909999989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40">
        <f>B23-B17</f>
        <v>0</v>
      </c>
      <c r="C25" s="40">
        <f t="shared" ref="C25" si="6">C23-C17</f>
        <v>2829440.2099999934</v>
      </c>
      <c r="D25" s="40">
        <f>D23-D17</f>
        <v>3553951.909999989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7">C30+C31</f>
        <v>0</v>
      </c>
      <c r="D29" s="61">
        <f t="shared" si="7"/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8">C25+C29</f>
        <v>2829440.2099999934</v>
      </c>
      <c r="D33" s="61">
        <f t="shared" si="8"/>
        <v>3553951.909999989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9">C38+C39</f>
        <v>0</v>
      </c>
      <c r="D37" s="61">
        <f t="shared" si="9"/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 t="shared" ref="C40:D40" si="10">C41+C42</f>
        <v>0</v>
      </c>
      <c r="D40" s="61">
        <f t="shared" si="10"/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1">C37-C40</f>
        <v>0</v>
      </c>
      <c r="D44" s="61">
        <f t="shared" si="11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41690432.002592862</v>
      </c>
      <c r="C48" s="124">
        <f>C9</f>
        <v>45239793.839999996</v>
      </c>
      <c r="D48" s="124">
        <f t="shared" ref="D48" si="12">D9</f>
        <v>45239793.839999996</v>
      </c>
    </row>
    <row r="49" spans="1:4" x14ac:dyDescent="0.25">
      <c r="A49" s="127" t="s">
        <v>199</v>
      </c>
      <c r="B49" s="61">
        <f>B50-B51</f>
        <v>0</v>
      </c>
      <c r="C49" s="61">
        <f t="shared" ref="C49:D49" si="13">C50-C51</f>
        <v>0</v>
      </c>
      <c r="D49" s="61">
        <f t="shared" si="13"/>
        <v>0</v>
      </c>
    </row>
    <row r="50" spans="1:4" x14ac:dyDescent="0.25">
      <c r="A50" s="128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8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41690432.002592862</v>
      </c>
      <c r="C53" s="60">
        <f t="shared" ref="C53:D53" si="14">C14</f>
        <v>42410353.630000003</v>
      </c>
      <c r="D53" s="60">
        <f t="shared" si="14"/>
        <v>41685841.930000007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 t="shared" ref="C55:D55" si="15">C18</f>
        <v>0</v>
      </c>
      <c r="D55" s="60">
        <f t="shared" si="15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2829440.2099999934</v>
      </c>
      <c r="D57" s="61">
        <f t="shared" ref="D57" si="16">D48+D49-D53+D55</f>
        <v>3553951.909999989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 t="shared" ref="C59:D59" si="17">C57-C49</f>
        <v>2829440.2099999934</v>
      </c>
      <c r="D59" s="61">
        <f t="shared" si="17"/>
        <v>3553951.909999989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 t="shared" ref="C63:D63" si="18">C10</f>
        <v>0</v>
      </c>
      <c r="D63" s="122">
        <f t="shared" si="18"/>
        <v>0</v>
      </c>
    </row>
    <row r="64" spans="1:4" ht="30" x14ac:dyDescent="0.25">
      <c r="A64" s="127" t="s">
        <v>202</v>
      </c>
      <c r="B64" s="40">
        <f>B65-B66</f>
        <v>0</v>
      </c>
      <c r="C64" s="40">
        <f t="shared" ref="C64:D64" si="19">C65-C66</f>
        <v>0</v>
      </c>
      <c r="D64" s="40">
        <f t="shared" si="19"/>
        <v>0</v>
      </c>
    </row>
    <row r="65" spans="1:4" x14ac:dyDescent="0.25">
      <c r="A65" s="128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8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20">C15</f>
        <v>0</v>
      </c>
      <c r="D68" s="23">
        <f t="shared" si="20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1">C19</f>
        <v>0</v>
      </c>
      <c r="D70" s="23">
        <f t="shared" si="21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2">C63+C64-C68+C70</f>
        <v>0</v>
      </c>
      <c r="D72" s="40">
        <f t="shared" si="22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3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 xr:uid="{00000000-0002-0000-09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41690432.002592862</v>
      </c>
      <c r="Q2" s="18">
        <f>'Formato 4'!C8</f>
        <v>45239793.839999996</v>
      </c>
      <c r="R2" s="18">
        <f>'Formato 4'!D8</f>
        <v>45239793.839999996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41690432.002592862</v>
      </c>
      <c r="Q3" s="18">
        <f>'Formato 4'!C9</f>
        <v>45239793.839999996</v>
      </c>
      <c r="R3" s="18">
        <f>'Formato 4'!D9</f>
        <v>45239793.839999996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41690432.002592862</v>
      </c>
      <c r="Q6" s="18">
        <f>'Formato 4'!C13</f>
        <v>42410353.630000003</v>
      </c>
      <c r="R6" s="18">
        <f>'Formato 4'!D13</f>
        <v>41685841.930000007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41690432.002592862</v>
      </c>
      <c r="Q7" s="18">
        <f>'Formato 4'!C14</f>
        <v>42410353.630000003</v>
      </c>
      <c r="R7" s="18">
        <f>'Formato 4'!D14</f>
        <v>41685841.930000007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2829440.2099999934</v>
      </c>
      <c r="R12" s="18">
        <f>'Formato 4'!D21</f>
        <v>3553951.909999989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2829440.2099999934</v>
      </c>
      <c r="R13" s="18">
        <f>'Formato 4'!D23</f>
        <v>3553951.909999989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2829440.2099999934</v>
      </c>
      <c r="R14" s="18">
        <f>'Formato 4'!D25</f>
        <v>3553951.909999989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2829440.2099999934</v>
      </c>
      <c r="R18">
        <f>'Formato 4'!D33</f>
        <v>3553951.909999989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41690432.002592862</v>
      </c>
      <c r="Q26">
        <f>'Formato 4'!C48</f>
        <v>45239793.839999996</v>
      </c>
      <c r="R26">
        <f>'Formato 4'!D48</f>
        <v>45239793.839999996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41690432.002592862</v>
      </c>
      <c r="Q30">
        <f>'Formato 4'!C53</f>
        <v>42410353.630000003</v>
      </c>
      <c r="R30">
        <f>'Formato 4'!D53</f>
        <v>41685841.930000007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1"/>
  <dimension ref="A1:H76"/>
  <sheetViews>
    <sheetView showGridLines="0" zoomScale="85" zoomScaleNormal="85" workbookViewId="0">
      <selection sqref="A1:G1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71" t="s">
        <v>206</v>
      </c>
      <c r="B1" s="171"/>
      <c r="C1" s="171"/>
      <c r="D1" s="171"/>
      <c r="E1" s="171"/>
      <c r="F1" s="171"/>
      <c r="G1" s="171"/>
    </row>
    <row r="2" spans="1:8" ht="14.25" x14ac:dyDescent="0.45">
      <c r="A2" s="153" t="str">
        <f>ENTE_PUBLICO_A</f>
        <v>INSTITUTO MUNICIPAL DE LA JUVENTUD DE LEON GUANAJUATO, Gobierno del Estado de Guanajuato (a)</v>
      </c>
      <c r="B2" s="154"/>
      <c r="C2" s="154"/>
      <c r="D2" s="154"/>
      <c r="E2" s="154"/>
      <c r="F2" s="154"/>
      <c r="G2" s="155"/>
    </row>
    <row r="3" spans="1:8" x14ac:dyDescent="0.25">
      <c r="A3" s="156" t="s">
        <v>207</v>
      </c>
      <c r="B3" s="157"/>
      <c r="C3" s="157"/>
      <c r="D3" s="157"/>
      <c r="E3" s="157"/>
      <c r="F3" s="157"/>
      <c r="G3" s="158"/>
    </row>
    <row r="4" spans="1:8" ht="14.25" x14ac:dyDescent="0.45">
      <c r="A4" s="159" t="str">
        <f>TRIMESTRE</f>
        <v>Del 1 de enero al 31 de diciembre de 2021 (b)</v>
      </c>
      <c r="B4" s="160"/>
      <c r="C4" s="160"/>
      <c r="D4" s="160"/>
      <c r="E4" s="160"/>
      <c r="F4" s="160"/>
      <c r="G4" s="161"/>
    </row>
    <row r="5" spans="1:8" ht="14.25" x14ac:dyDescent="0.45">
      <c r="A5" s="162" t="s">
        <v>118</v>
      </c>
      <c r="B5" s="163"/>
      <c r="C5" s="163"/>
      <c r="D5" s="163"/>
      <c r="E5" s="163"/>
      <c r="F5" s="163"/>
      <c r="G5" s="164"/>
    </row>
    <row r="6" spans="1:8" x14ac:dyDescent="0.25">
      <c r="A6" s="168" t="s">
        <v>214</v>
      </c>
      <c r="B6" s="170" t="s">
        <v>208</v>
      </c>
      <c r="C6" s="170"/>
      <c r="D6" s="170"/>
      <c r="E6" s="170"/>
      <c r="F6" s="170"/>
      <c r="G6" s="170" t="s">
        <v>209</v>
      </c>
    </row>
    <row r="7" spans="1:8" ht="30" x14ac:dyDescent="0.25">
      <c r="A7" s="169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0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ht="14.25" x14ac:dyDescent="0.4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ht="14.25" x14ac:dyDescent="0.4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5" si="0">F10-B10</f>
        <v>0</v>
      </c>
    </row>
    <row r="11" spans="1:8" ht="14.25" x14ac:dyDescent="0.4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ht="14.25" x14ac:dyDescent="0.4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ht="14.25" x14ac:dyDescent="0.4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f t="shared" si="0"/>
        <v>0</v>
      </c>
    </row>
    <row r="14" spans="1:8" ht="14.25" x14ac:dyDescent="0.4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f t="shared" si="0"/>
        <v>0</v>
      </c>
    </row>
    <row r="15" spans="1:8" ht="14.25" x14ac:dyDescent="0.45">
      <c r="A15" s="53" t="s">
        <v>222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f t="shared" si="0"/>
        <v>0</v>
      </c>
    </row>
    <row r="16" spans="1:8" ht="14.25" x14ac:dyDescent="0.4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ht="14.25" x14ac:dyDescent="0.4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ht="14.25" x14ac:dyDescent="0.4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2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2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2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3">SUM(C29:C33)</f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>F30-B30</f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ref="G31:G33" si="4">F31-B31</f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4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4"/>
        <v>0</v>
      </c>
    </row>
    <row r="34" spans="1:8" x14ac:dyDescent="0.25">
      <c r="A34" s="53" t="s">
        <v>240</v>
      </c>
      <c r="B34" s="60">
        <v>41690432.002592862</v>
      </c>
      <c r="C34" s="60">
        <v>3300000</v>
      </c>
      <c r="D34" s="60">
        <v>44990432.002592862</v>
      </c>
      <c r="E34" s="60">
        <v>44990432.439999998</v>
      </c>
      <c r="F34" s="60">
        <v>44990432.439999998</v>
      </c>
      <c r="G34" s="60">
        <f>F34-B34</f>
        <v>3300000.437407136</v>
      </c>
    </row>
    <row r="35" spans="1:8" x14ac:dyDescent="0.25">
      <c r="A35" s="53" t="s">
        <v>241</v>
      </c>
      <c r="B35" s="60">
        <f>B36</f>
        <v>0</v>
      </c>
      <c r="C35" s="60">
        <f t="shared" ref="C35:F35" si="5">C36</f>
        <v>0</v>
      </c>
      <c r="D35" s="60">
        <f t="shared" si="5"/>
        <v>0</v>
      </c>
      <c r="E35" s="60">
        <f t="shared" si="5"/>
        <v>0</v>
      </c>
      <c r="F35" s="60">
        <f t="shared" si="5"/>
        <v>0</v>
      </c>
      <c r="G35" s="60">
        <f>G36</f>
        <v>0</v>
      </c>
    </row>
    <row r="36" spans="1:8" x14ac:dyDescent="0.25">
      <c r="A36" s="63" t="s">
        <v>242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6">C38+C39</f>
        <v>218405.84</v>
      </c>
      <c r="D37" s="60">
        <f t="shared" si="6"/>
        <v>218405.84</v>
      </c>
      <c r="E37" s="60">
        <f t="shared" si="6"/>
        <v>249361.4</v>
      </c>
      <c r="F37" s="60">
        <f t="shared" si="6"/>
        <v>249361.4</v>
      </c>
      <c r="G37" s="60">
        <f t="shared" si="6"/>
        <v>249361.4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218405.84</v>
      </c>
      <c r="D39" s="60">
        <v>218405.84</v>
      </c>
      <c r="E39" s="60">
        <v>249361.4</v>
      </c>
      <c r="F39" s="60">
        <v>249361.4</v>
      </c>
      <c r="G39" s="60">
        <f>F39-B39</f>
        <v>249361.4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41690432.002592862</v>
      </c>
      <c r="C41" s="61">
        <f t="shared" ref="C41:E41" si="7">SUM(C9,C10,C11,C12,C13,C14,C15,C16,C28,C34,C35,C37)</f>
        <v>3518405.84</v>
      </c>
      <c r="D41" s="61">
        <f t="shared" si="7"/>
        <v>45208837.842592865</v>
      </c>
      <c r="E41" s="61">
        <f t="shared" si="7"/>
        <v>45239793.839999996</v>
      </c>
      <c r="F41" s="61">
        <f>SUM(F9,F10,F11,F12,F13,F14,F15,F16,F28,F34,F35,F37)</f>
        <v>45239793.839999996</v>
      </c>
      <c r="G41" s="61">
        <f>SUM(G9,G10,G11,G12,G13,G14,G15,G16,G28,G34,G35,G37)</f>
        <v>3549361.8374071359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3549361.8374071359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8">SUM(C46:C53)</f>
        <v>0</v>
      </c>
      <c r="D45" s="60">
        <f t="shared" si="8"/>
        <v>0</v>
      </c>
      <c r="E45" s="60">
        <f t="shared" si="8"/>
        <v>0</v>
      </c>
      <c r="F45" s="60">
        <f t="shared" si="8"/>
        <v>0</v>
      </c>
      <c r="G45" s="60">
        <f t="shared" si="8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9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9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9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9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9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9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9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10">SUM(C55:C58)</f>
        <v>0</v>
      </c>
      <c r="D54" s="60">
        <f t="shared" si="10"/>
        <v>0</v>
      </c>
      <c r="E54" s="60">
        <f t="shared" si="10"/>
        <v>0</v>
      </c>
      <c r="F54" s="60">
        <f t="shared" si="10"/>
        <v>0</v>
      </c>
      <c r="G54" s="60">
        <f t="shared" si="10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11"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11"/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11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2">SUM(C60:C61)</f>
        <v>0</v>
      </c>
      <c r="D59" s="60">
        <f t="shared" si="12"/>
        <v>0</v>
      </c>
      <c r="E59" s="60">
        <f t="shared" si="12"/>
        <v>0</v>
      </c>
      <c r="F59" s="60">
        <f t="shared" si="12"/>
        <v>0</v>
      </c>
      <c r="G59" s="60">
        <f t="shared" si="12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3">C45+C54+C59+C62+C63</f>
        <v>0</v>
      </c>
      <c r="D65" s="61">
        <f t="shared" si="13"/>
        <v>0</v>
      </c>
      <c r="E65" s="61">
        <f t="shared" si="13"/>
        <v>0</v>
      </c>
      <c r="F65" s="61">
        <f t="shared" si="13"/>
        <v>0</v>
      </c>
      <c r="G65" s="61">
        <f t="shared" si="13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4">C68</f>
        <v>0</v>
      </c>
      <c r="D67" s="61">
        <f t="shared" si="14"/>
        <v>0</v>
      </c>
      <c r="E67" s="61">
        <f t="shared" si="14"/>
        <v>0</v>
      </c>
      <c r="F67" s="61">
        <f t="shared" si="14"/>
        <v>0</v>
      </c>
      <c r="G67" s="61">
        <f t="shared" si="14"/>
        <v>0</v>
      </c>
    </row>
    <row r="68" spans="1:7" x14ac:dyDescent="0.25">
      <c r="A68" s="53" t="s">
        <v>269</v>
      </c>
      <c r="B68" s="60">
        <v>0</v>
      </c>
      <c r="C68" s="60">
        <v>0</v>
      </c>
      <c r="D68" s="60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41690432.002592862</v>
      </c>
      <c r="C70" s="61">
        <f t="shared" ref="C70:G70" si="15">C41+C65+C67</f>
        <v>3518405.84</v>
      </c>
      <c r="D70" s="61">
        <f t="shared" si="15"/>
        <v>45208837.842592865</v>
      </c>
      <c r="E70" s="61">
        <f t="shared" si="15"/>
        <v>45239793.839999996</v>
      </c>
      <c r="F70" s="61">
        <f t="shared" si="15"/>
        <v>45239793.839999996</v>
      </c>
      <c r="G70" s="61">
        <f t="shared" si="15"/>
        <v>3549361.8374071359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30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20" t="s">
        <v>274</v>
      </c>
      <c r="B75" s="61">
        <f>B73+B74</f>
        <v>0</v>
      </c>
      <c r="C75" s="61">
        <f t="shared" ref="C75:G75" si="16">C73+C74</f>
        <v>0</v>
      </c>
      <c r="D75" s="61">
        <f t="shared" si="16"/>
        <v>0</v>
      </c>
      <c r="E75" s="61">
        <f t="shared" si="16"/>
        <v>0</v>
      </c>
      <c r="F75" s="61">
        <f t="shared" si="16"/>
        <v>0</v>
      </c>
      <c r="G75" s="61">
        <f t="shared" si="16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 xr:uid="{00000000-0002-0000-0B00-000001000000}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41690432.002592862</v>
      </c>
      <c r="Q28" s="18">
        <f>'Formato 5'!C34</f>
        <v>3300000</v>
      </c>
      <c r="R28" s="18">
        <f>'Formato 5'!D34</f>
        <v>44990432.002592862</v>
      </c>
      <c r="S28" s="18">
        <f>'Formato 5'!E34</f>
        <v>44990432.439999998</v>
      </c>
      <c r="T28" s="18">
        <f>'Formato 5'!F34</f>
        <v>44990432.439999998</v>
      </c>
      <c r="U28" s="18">
        <f>'Formato 5'!G34</f>
        <v>3300000.437407136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218405.84</v>
      </c>
      <c r="R31" s="18">
        <f>'Formato 5'!D37</f>
        <v>218405.84</v>
      </c>
      <c r="S31" s="18">
        <f>'Formato 5'!E37</f>
        <v>249361.4</v>
      </c>
      <c r="T31" s="18">
        <f>'Formato 5'!F37</f>
        <v>249361.4</v>
      </c>
      <c r="U31" s="18">
        <f>'Formato 5'!G37</f>
        <v>249361.4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218405.84</v>
      </c>
      <c r="R33" s="18">
        <f>'Formato 5'!D39</f>
        <v>218405.84</v>
      </c>
      <c r="S33" s="18">
        <f>'Formato 5'!E39</f>
        <v>249361.4</v>
      </c>
      <c r="T33" s="18">
        <f>'Formato 5'!F39</f>
        <v>249361.4</v>
      </c>
      <c r="U33" s="18">
        <f>'Formato 5'!G39</f>
        <v>249361.4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41690432.002592862</v>
      </c>
      <c r="Q34">
        <f>'Formato 5'!C41</f>
        <v>3518405.84</v>
      </c>
      <c r="R34">
        <f>'Formato 5'!D41</f>
        <v>45208837.842592865</v>
      </c>
      <c r="S34">
        <f>'Formato 5'!E41</f>
        <v>45239793.839999996</v>
      </c>
      <c r="T34">
        <f>'Formato 5'!F41</f>
        <v>45239793.839999996</v>
      </c>
      <c r="U34">
        <f>'Formato 5'!G41</f>
        <v>3549361.8374071359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3549361.8374071359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61"/>
  <dimension ref="A1:XFC161"/>
  <sheetViews>
    <sheetView zoomScale="93" zoomScaleNormal="93" zoomScalePageLayoutView="90" workbookViewId="0">
      <selection sqref="A1:G1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72" t="s">
        <v>3285</v>
      </c>
      <c r="B1" s="171"/>
      <c r="C1" s="171"/>
      <c r="D1" s="171"/>
      <c r="E1" s="171"/>
      <c r="F1" s="171"/>
      <c r="G1" s="171"/>
    </row>
    <row r="2" spans="1:7" ht="14.25" x14ac:dyDescent="0.45">
      <c r="A2" s="175" t="str">
        <f>ENTE_PUBLICO_A</f>
        <v>INSTITUTO MUNICIPAL DE LA JUVENTUD DE LEON GUANAJUATO, Gobierno del Estado de Guanajuato (a)</v>
      </c>
      <c r="B2" s="175"/>
      <c r="C2" s="175"/>
      <c r="D2" s="175"/>
      <c r="E2" s="175"/>
      <c r="F2" s="175"/>
      <c r="G2" s="175"/>
    </row>
    <row r="3" spans="1:7" x14ac:dyDescent="0.25">
      <c r="A3" s="176" t="s">
        <v>277</v>
      </c>
      <c r="B3" s="176"/>
      <c r="C3" s="176"/>
      <c r="D3" s="176"/>
      <c r="E3" s="176"/>
      <c r="F3" s="176"/>
      <c r="G3" s="176"/>
    </row>
    <row r="4" spans="1:7" x14ac:dyDescent="0.25">
      <c r="A4" s="176" t="s">
        <v>278</v>
      </c>
      <c r="B4" s="176"/>
      <c r="C4" s="176"/>
      <c r="D4" s="176"/>
      <c r="E4" s="176"/>
      <c r="F4" s="176"/>
      <c r="G4" s="176"/>
    </row>
    <row r="5" spans="1:7" ht="14.25" x14ac:dyDescent="0.45">
      <c r="A5" s="177" t="str">
        <f>TRIMESTRE</f>
        <v>Del 1 de enero al 31 de diciembre de 2021 (b)</v>
      </c>
      <c r="B5" s="177"/>
      <c r="C5" s="177"/>
      <c r="D5" s="177"/>
      <c r="E5" s="177"/>
      <c r="F5" s="177"/>
      <c r="G5" s="177"/>
    </row>
    <row r="6" spans="1:7" ht="14.25" x14ac:dyDescent="0.45">
      <c r="A6" s="169" t="s">
        <v>118</v>
      </c>
      <c r="B6" s="169"/>
      <c r="C6" s="169"/>
      <c r="D6" s="169"/>
      <c r="E6" s="169"/>
      <c r="F6" s="169"/>
      <c r="G6" s="169"/>
    </row>
    <row r="7" spans="1:7" ht="15" customHeight="1" x14ac:dyDescent="0.25">
      <c r="A7" s="173" t="s">
        <v>0</v>
      </c>
      <c r="B7" s="173" t="s">
        <v>279</v>
      </c>
      <c r="C7" s="173"/>
      <c r="D7" s="173"/>
      <c r="E7" s="173"/>
      <c r="F7" s="173"/>
      <c r="G7" s="174" t="s">
        <v>280</v>
      </c>
    </row>
    <row r="8" spans="1:7" ht="30" x14ac:dyDescent="0.25">
      <c r="A8" s="173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3"/>
    </row>
    <row r="9" spans="1:7" ht="14.25" x14ac:dyDescent="0.45">
      <c r="A9" s="82" t="s">
        <v>285</v>
      </c>
      <c r="B9" s="79">
        <f>SUM(B10,B18,B28,B38,B48,B58,B62,B71,B75)</f>
        <v>41690432.002592862</v>
      </c>
      <c r="C9" s="79">
        <f t="shared" ref="C9:G9" si="0">SUM(C10,C18,C28,C38,C48,C58,C62,C71,C75)</f>
        <v>3518405.8400000003</v>
      </c>
      <c r="D9" s="79">
        <f t="shared" si="0"/>
        <v>45208837.842592865</v>
      </c>
      <c r="E9" s="79">
        <f t="shared" si="0"/>
        <v>42410353.630000003</v>
      </c>
      <c r="F9" s="79">
        <f t="shared" si="0"/>
        <v>41685841.930000007</v>
      </c>
      <c r="G9" s="79">
        <f t="shared" si="0"/>
        <v>2798484.2125928686</v>
      </c>
    </row>
    <row r="10" spans="1:7" ht="14.25" x14ac:dyDescent="0.45">
      <c r="A10" s="83" t="s">
        <v>286</v>
      </c>
      <c r="B10" s="80">
        <f>SUM(B11:B17)</f>
        <v>29968985.702592865</v>
      </c>
      <c r="C10" s="80">
        <f t="shared" ref="C10:F10" si="1">SUM(C11:C17)</f>
        <v>0</v>
      </c>
      <c r="D10" s="80">
        <f t="shared" si="1"/>
        <v>29968985.702592865</v>
      </c>
      <c r="E10" s="80">
        <f t="shared" si="1"/>
        <v>28075487.780000001</v>
      </c>
      <c r="F10" s="80">
        <f t="shared" si="1"/>
        <v>27501147.080000002</v>
      </c>
      <c r="G10" s="80">
        <f>SUM(G11:G17)</f>
        <v>1893497.9225928695</v>
      </c>
    </row>
    <row r="11" spans="1:7" x14ac:dyDescent="0.25">
      <c r="A11" s="84" t="s">
        <v>287</v>
      </c>
      <c r="B11" s="80">
        <v>18172449.728595</v>
      </c>
      <c r="C11" s="80">
        <v>0</v>
      </c>
      <c r="D11" s="80">
        <v>18172449.728595</v>
      </c>
      <c r="E11" s="80">
        <v>17094035.879999999</v>
      </c>
      <c r="F11" s="80">
        <v>17094035.879999999</v>
      </c>
      <c r="G11" s="80">
        <f>D11-E11</f>
        <v>1078413.8485950008</v>
      </c>
    </row>
    <row r="12" spans="1:7" x14ac:dyDescent="0.25">
      <c r="A12" s="84" t="s">
        <v>288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f>D12-E12</f>
        <v>0</v>
      </c>
    </row>
    <row r="13" spans="1:7" x14ac:dyDescent="0.25">
      <c r="A13" s="84" t="s">
        <v>289</v>
      </c>
      <c r="B13" s="80">
        <v>3023661.5745395683</v>
      </c>
      <c r="C13" s="80">
        <v>0</v>
      </c>
      <c r="D13" s="80">
        <v>3023661.5745395683</v>
      </c>
      <c r="E13" s="80">
        <v>2852829.7600000002</v>
      </c>
      <c r="F13" s="80">
        <v>2852829.76</v>
      </c>
      <c r="G13" s="80">
        <f t="shared" ref="G13:G17" si="2">D13-E13</f>
        <v>170831.81453956803</v>
      </c>
    </row>
    <row r="14" spans="1:7" x14ac:dyDescent="0.25">
      <c r="A14" s="84" t="s">
        <v>290</v>
      </c>
      <c r="B14" s="80">
        <v>4458889.175469907</v>
      </c>
      <c r="C14" s="80">
        <v>0</v>
      </c>
      <c r="D14" s="80">
        <v>4458889.175469907</v>
      </c>
      <c r="E14" s="80">
        <v>4172613.0699999994</v>
      </c>
      <c r="F14" s="80">
        <v>3598272.3699999996</v>
      </c>
      <c r="G14" s="80">
        <f t="shared" si="2"/>
        <v>286276.10546990763</v>
      </c>
    </row>
    <row r="15" spans="1:7" x14ac:dyDescent="0.25">
      <c r="A15" s="84" t="s">
        <v>291</v>
      </c>
      <c r="B15" s="80">
        <v>4313985.2239883933</v>
      </c>
      <c r="C15" s="80">
        <v>0</v>
      </c>
      <c r="D15" s="80">
        <v>4313985.2239883933</v>
      </c>
      <c r="E15" s="80">
        <v>3956009.0700000003</v>
      </c>
      <c r="F15" s="80">
        <v>3956009.07</v>
      </c>
      <c r="G15" s="80">
        <f t="shared" si="2"/>
        <v>357976.15398839302</v>
      </c>
    </row>
    <row r="16" spans="1:7" x14ac:dyDescent="0.25">
      <c r="A16" s="84" t="s">
        <v>292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f t="shared" si="2"/>
        <v>0</v>
      </c>
    </row>
    <row r="17" spans="1:7" x14ac:dyDescent="0.25">
      <c r="A17" s="84" t="s">
        <v>293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f t="shared" si="2"/>
        <v>0</v>
      </c>
    </row>
    <row r="18" spans="1:7" x14ac:dyDescent="0.25">
      <c r="A18" s="83" t="s">
        <v>294</v>
      </c>
      <c r="B18" s="80">
        <f>SUM(B19:B27)</f>
        <v>1386484.4300000002</v>
      </c>
      <c r="C18" s="80">
        <f t="shared" ref="C18:F18" si="3">SUM(C19:C27)</f>
        <v>35000.000000000058</v>
      </c>
      <c r="D18" s="80">
        <f t="shared" si="3"/>
        <v>1421484.4300000002</v>
      </c>
      <c r="E18" s="80">
        <f t="shared" si="3"/>
        <v>1208783.7</v>
      </c>
      <c r="F18" s="80">
        <f t="shared" si="3"/>
        <v>1208783.7</v>
      </c>
      <c r="G18" s="80">
        <f>SUM(G19:G27)</f>
        <v>212700.7300000001</v>
      </c>
    </row>
    <row r="19" spans="1:7" x14ac:dyDescent="0.25">
      <c r="A19" s="84" t="s">
        <v>295</v>
      </c>
      <c r="B19" s="80">
        <v>473824.11000000004</v>
      </c>
      <c r="C19" s="80">
        <v>-86742.78</v>
      </c>
      <c r="D19" s="80">
        <v>387081.33000000007</v>
      </c>
      <c r="E19" s="80">
        <v>384115.49000000005</v>
      </c>
      <c r="F19" s="80">
        <v>384115.49000000005</v>
      </c>
      <c r="G19" s="80">
        <f>D19-E19</f>
        <v>2965.8400000000256</v>
      </c>
    </row>
    <row r="20" spans="1:7" x14ac:dyDescent="0.25">
      <c r="A20" s="84" t="s">
        <v>296</v>
      </c>
      <c r="B20" s="80">
        <v>0</v>
      </c>
      <c r="C20" s="80">
        <v>450</v>
      </c>
      <c r="D20" s="80">
        <v>450</v>
      </c>
      <c r="E20" s="80">
        <v>450</v>
      </c>
      <c r="F20" s="80">
        <v>450</v>
      </c>
      <c r="G20" s="80">
        <f t="shared" ref="G20:G27" si="4">D20-E20</f>
        <v>0</v>
      </c>
    </row>
    <row r="21" spans="1:7" x14ac:dyDescent="0.25">
      <c r="A21" s="84" t="s">
        <v>297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f t="shared" si="4"/>
        <v>0</v>
      </c>
    </row>
    <row r="22" spans="1:7" x14ac:dyDescent="0.25">
      <c r="A22" s="84" t="s">
        <v>298</v>
      </c>
      <c r="B22" s="80">
        <v>241380.32</v>
      </c>
      <c r="C22" s="80">
        <v>-49462.359999999986</v>
      </c>
      <c r="D22" s="80">
        <v>191917.96000000002</v>
      </c>
      <c r="E22" s="80">
        <v>128779.20000000001</v>
      </c>
      <c r="F22" s="80">
        <v>128779.20000000001</v>
      </c>
      <c r="G22" s="80">
        <f t="shared" si="4"/>
        <v>63138.760000000009</v>
      </c>
    </row>
    <row r="23" spans="1:7" x14ac:dyDescent="0.25">
      <c r="A23" s="84" t="s">
        <v>299</v>
      </c>
      <c r="B23" s="80">
        <v>30000</v>
      </c>
      <c r="C23" s="80">
        <v>7242.1300000000047</v>
      </c>
      <c r="D23" s="80">
        <v>37242.130000000005</v>
      </c>
      <c r="E23" s="80">
        <v>35801.130000000005</v>
      </c>
      <c r="F23" s="80">
        <v>35801.130000000005</v>
      </c>
      <c r="G23" s="80">
        <f t="shared" si="4"/>
        <v>1441</v>
      </c>
    </row>
    <row r="24" spans="1:7" x14ac:dyDescent="0.25">
      <c r="A24" s="84" t="s">
        <v>300</v>
      </c>
      <c r="B24" s="80">
        <v>500000</v>
      </c>
      <c r="C24" s="80">
        <v>-145000</v>
      </c>
      <c r="D24" s="80">
        <v>355000</v>
      </c>
      <c r="E24" s="80">
        <v>311495.44</v>
      </c>
      <c r="F24" s="80">
        <v>311495.44</v>
      </c>
      <c r="G24" s="80">
        <f t="shared" si="4"/>
        <v>43504.56</v>
      </c>
    </row>
    <row r="25" spans="1:7" x14ac:dyDescent="0.25">
      <c r="A25" s="84" t="s">
        <v>301</v>
      </c>
      <c r="B25" s="80">
        <v>33000</v>
      </c>
      <c r="C25" s="80">
        <v>33202</v>
      </c>
      <c r="D25" s="80">
        <v>66202</v>
      </c>
      <c r="E25" s="80">
        <v>20750</v>
      </c>
      <c r="F25" s="80">
        <v>20750</v>
      </c>
      <c r="G25" s="80">
        <f t="shared" si="4"/>
        <v>45452</v>
      </c>
    </row>
    <row r="26" spans="1:7" x14ac:dyDescent="0.25">
      <c r="A26" s="84" t="s">
        <v>302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f t="shared" si="4"/>
        <v>0</v>
      </c>
    </row>
    <row r="27" spans="1:7" x14ac:dyDescent="0.25">
      <c r="A27" s="84" t="s">
        <v>303</v>
      </c>
      <c r="B27" s="80">
        <v>108280</v>
      </c>
      <c r="C27" s="80">
        <v>275311.01000000007</v>
      </c>
      <c r="D27" s="80">
        <v>383591.01000000007</v>
      </c>
      <c r="E27" s="80">
        <v>327392.44</v>
      </c>
      <c r="F27" s="80">
        <v>327392.44</v>
      </c>
      <c r="G27" s="80">
        <f t="shared" si="4"/>
        <v>56198.570000000065</v>
      </c>
    </row>
    <row r="28" spans="1:7" x14ac:dyDescent="0.25">
      <c r="A28" s="83" t="s">
        <v>304</v>
      </c>
      <c r="B28" s="80">
        <f>SUM(B29:B37)</f>
        <v>8054676.8700000001</v>
      </c>
      <c r="C28" s="80">
        <f t="shared" ref="C28:G28" si="5">SUM(C29:C37)</f>
        <v>3483405.8400000003</v>
      </c>
      <c r="D28" s="80">
        <f t="shared" si="5"/>
        <v>11538082.710000001</v>
      </c>
      <c r="E28" s="80">
        <f t="shared" si="5"/>
        <v>10963146.130000001</v>
      </c>
      <c r="F28" s="80">
        <f t="shared" si="5"/>
        <v>10812975.130000001</v>
      </c>
      <c r="G28" s="80">
        <f t="shared" si="5"/>
        <v>574936.57999999938</v>
      </c>
    </row>
    <row r="29" spans="1:7" x14ac:dyDescent="0.25">
      <c r="A29" s="84" t="s">
        <v>305</v>
      </c>
      <c r="B29" s="80">
        <v>344000</v>
      </c>
      <c r="C29" s="80">
        <v>609.92999999999995</v>
      </c>
      <c r="D29" s="80">
        <v>344609.93</v>
      </c>
      <c r="E29" s="80">
        <v>247107.52</v>
      </c>
      <c r="F29" s="80">
        <v>247107.52</v>
      </c>
      <c r="G29" s="80">
        <f>D29-E29</f>
        <v>97502.41</v>
      </c>
    </row>
    <row r="30" spans="1:7" x14ac:dyDescent="0.25">
      <c r="A30" s="84" t="s">
        <v>306</v>
      </c>
      <c r="B30" s="80">
        <v>43200</v>
      </c>
      <c r="C30" s="80">
        <v>-13343.599999999999</v>
      </c>
      <c r="D30" s="80">
        <v>29856.400000000001</v>
      </c>
      <c r="E30" s="80">
        <v>29685.550000000003</v>
      </c>
      <c r="F30" s="80">
        <v>29685.550000000003</v>
      </c>
      <c r="G30" s="80">
        <f t="shared" ref="G30:G37" si="6">D30-E30</f>
        <v>170.84999999999854</v>
      </c>
    </row>
    <row r="31" spans="1:7" x14ac:dyDescent="0.25">
      <c r="A31" s="84" t="s">
        <v>307</v>
      </c>
      <c r="B31" s="80">
        <v>2098924</v>
      </c>
      <c r="C31" s="80">
        <v>654124.77</v>
      </c>
      <c r="D31" s="80">
        <v>2753048.77</v>
      </c>
      <c r="E31" s="80">
        <v>2730411.8600000003</v>
      </c>
      <c r="F31" s="80">
        <v>2646891.86</v>
      </c>
      <c r="G31" s="80">
        <f t="shared" si="6"/>
        <v>22636.909999999683</v>
      </c>
    </row>
    <row r="32" spans="1:7" x14ac:dyDescent="0.25">
      <c r="A32" s="84" t="s">
        <v>308</v>
      </c>
      <c r="B32" s="80">
        <v>300000</v>
      </c>
      <c r="C32" s="80">
        <v>332.69</v>
      </c>
      <c r="D32" s="80">
        <v>300332.69</v>
      </c>
      <c r="E32" s="80">
        <v>243271.99999999997</v>
      </c>
      <c r="F32" s="80">
        <v>243271.99999999997</v>
      </c>
      <c r="G32" s="80">
        <f t="shared" si="6"/>
        <v>57060.690000000031</v>
      </c>
    </row>
    <row r="33" spans="1:7" x14ac:dyDescent="0.25">
      <c r="A33" s="84" t="s">
        <v>309</v>
      </c>
      <c r="B33" s="80">
        <v>368112</v>
      </c>
      <c r="C33" s="80">
        <v>28070.980000000003</v>
      </c>
      <c r="D33" s="80">
        <v>396182.98</v>
      </c>
      <c r="E33" s="80">
        <v>179116.60000000003</v>
      </c>
      <c r="F33" s="80">
        <v>179116.60000000003</v>
      </c>
      <c r="G33" s="80">
        <f t="shared" si="6"/>
        <v>217066.37999999995</v>
      </c>
    </row>
    <row r="34" spans="1:7" x14ac:dyDescent="0.25">
      <c r="A34" s="84" t="s">
        <v>310</v>
      </c>
      <c r="B34" s="80">
        <v>600000</v>
      </c>
      <c r="C34" s="80">
        <v>-259720</v>
      </c>
      <c r="D34" s="80">
        <v>340280</v>
      </c>
      <c r="E34" s="80">
        <v>329203.36</v>
      </c>
      <c r="F34" s="80">
        <v>329203.36</v>
      </c>
      <c r="G34" s="80">
        <f t="shared" si="6"/>
        <v>11076.640000000014</v>
      </c>
    </row>
    <row r="35" spans="1:7" x14ac:dyDescent="0.25">
      <c r="A35" s="84" t="s">
        <v>311</v>
      </c>
      <c r="B35" s="80">
        <v>135000</v>
      </c>
      <c r="C35" s="80">
        <v>-125204</v>
      </c>
      <c r="D35" s="80">
        <v>9796</v>
      </c>
      <c r="E35" s="80">
        <v>9795.02</v>
      </c>
      <c r="F35" s="80">
        <v>9795.02</v>
      </c>
      <c r="G35" s="80">
        <f t="shared" si="6"/>
        <v>0.97999999999956344</v>
      </c>
    </row>
    <row r="36" spans="1:7" x14ac:dyDescent="0.25">
      <c r="A36" s="84" t="s">
        <v>312</v>
      </c>
      <c r="B36" s="80">
        <v>3645140.87</v>
      </c>
      <c r="C36" s="80">
        <v>3132289.0700000003</v>
      </c>
      <c r="D36" s="80">
        <v>6777429.9400000004</v>
      </c>
      <c r="E36" s="80">
        <v>6635043.2200000007</v>
      </c>
      <c r="F36" s="80">
        <v>6635043.2200000007</v>
      </c>
      <c r="G36" s="80">
        <f t="shared" si="6"/>
        <v>142386.71999999974</v>
      </c>
    </row>
    <row r="37" spans="1:7" x14ac:dyDescent="0.25">
      <c r="A37" s="84" t="s">
        <v>313</v>
      </c>
      <c r="B37" s="80">
        <v>520300</v>
      </c>
      <c r="C37" s="80">
        <v>66246</v>
      </c>
      <c r="D37" s="80">
        <v>586546</v>
      </c>
      <c r="E37" s="80">
        <v>559511</v>
      </c>
      <c r="F37" s="80">
        <v>492860</v>
      </c>
      <c r="G37" s="80">
        <f t="shared" si="6"/>
        <v>27035</v>
      </c>
    </row>
    <row r="38" spans="1:7" x14ac:dyDescent="0.25">
      <c r="A38" s="83" t="s">
        <v>314</v>
      </c>
      <c r="B38" s="80">
        <f>SUM(B39:B47)</f>
        <v>0</v>
      </c>
      <c r="C38" s="80">
        <f t="shared" ref="C38:G38" si="7">SUM(C39:C47)</f>
        <v>0</v>
      </c>
      <c r="D38" s="80">
        <f t="shared" si="7"/>
        <v>0</v>
      </c>
      <c r="E38" s="80">
        <f t="shared" si="7"/>
        <v>0</v>
      </c>
      <c r="F38" s="80">
        <f t="shared" si="7"/>
        <v>0</v>
      </c>
      <c r="G38" s="80">
        <f t="shared" si="7"/>
        <v>0</v>
      </c>
    </row>
    <row r="39" spans="1:7" x14ac:dyDescent="0.25">
      <c r="A39" s="84" t="s">
        <v>315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f>D39-E39</f>
        <v>0</v>
      </c>
    </row>
    <row r="40" spans="1:7" x14ac:dyDescent="0.25">
      <c r="A40" s="84" t="s">
        <v>316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f t="shared" ref="G40:G47" si="8">D40-E40</f>
        <v>0</v>
      </c>
    </row>
    <row r="41" spans="1:7" x14ac:dyDescent="0.25">
      <c r="A41" s="84" t="s">
        <v>317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f t="shared" si="8"/>
        <v>0</v>
      </c>
    </row>
    <row r="42" spans="1:7" x14ac:dyDescent="0.25">
      <c r="A42" s="84" t="s">
        <v>318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f t="shared" si="8"/>
        <v>0</v>
      </c>
    </row>
    <row r="43" spans="1:7" x14ac:dyDescent="0.25">
      <c r="A43" s="84" t="s">
        <v>319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f t="shared" si="8"/>
        <v>0</v>
      </c>
    </row>
    <row r="44" spans="1:7" x14ac:dyDescent="0.25">
      <c r="A44" s="84" t="s">
        <v>320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f t="shared" si="8"/>
        <v>0</v>
      </c>
    </row>
    <row r="45" spans="1:7" x14ac:dyDescent="0.25">
      <c r="A45" s="84" t="s">
        <v>321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f t="shared" si="8"/>
        <v>0</v>
      </c>
    </row>
    <row r="46" spans="1:7" x14ac:dyDescent="0.25">
      <c r="A46" s="84" t="s">
        <v>322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f t="shared" si="8"/>
        <v>0</v>
      </c>
    </row>
    <row r="47" spans="1:7" x14ac:dyDescent="0.25">
      <c r="A47" s="84" t="s">
        <v>323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f t="shared" si="8"/>
        <v>0</v>
      </c>
    </row>
    <row r="48" spans="1:7" x14ac:dyDescent="0.25">
      <c r="A48" s="83" t="s">
        <v>324</v>
      </c>
      <c r="B48" s="80">
        <f>SUM(B49:B57)</f>
        <v>2280285</v>
      </c>
      <c r="C48" s="80">
        <f t="shared" ref="C48:G48" si="9">SUM(C49:C57)</f>
        <v>0</v>
      </c>
      <c r="D48" s="80">
        <f t="shared" si="9"/>
        <v>2280285</v>
      </c>
      <c r="E48" s="80">
        <f t="shared" si="9"/>
        <v>2162936.02</v>
      </c>
      <c r="F48" s="80">
        <f t="shared" si="9"/>
        <v>2162936.02</v>
      </c>
      <c r="G48" s="80">
        <f t="shared" si="9"/>
        <v>117348.97999999995</v>
      </c>
    </row>
    <row r="49" spans="1:7" x14ac:dyDescent="0.25">
      <c r="A49" s="84" t="s">
        <v>325</v>
      </c>
      <c r="B49" s="80">
        <v>1567000</v>
      </c>
      <c r="C49" s="80">
        <v>0</v>
      </c>
      <c r="D49" s="80">
        <v>1567000</v>
      </c>
      <c r="E49" s="80">
        <v>1530732.02</v>
      </c>
      <c r="F49" s="80">
        <v>1530732.02</v>
      </c>
      <c r="G49" s="80">
        <f>D49-E49</f>
        <v>36267.979999999981</v>
      </c>
    </row>
    <row r="50" spans="1:7" x14ac:dyDescent="0.25">
      <c r="A50" s="84" t="s">
        <v>326</v>
      </c>
      <c r="B50" s="80">
        <v>50000</v>
      </c>
      <c r="C50" s="80">
        <v>0</v>
      </c>
      <c r="D50" s="80">
        <v>50000</v>
      </c>
      <c r="E50" s="80">
        <v>13199</v>
      </c>
      <c r="F50" s="80">
        <v>13199</v>
      </c>
      <c r="G50" s="80">
        <f t="shared" ref="G50:G57" si="10">D50-E50</f>
        <v>36801</v>
      </c>
    </row>
    <row r="51" spans="1:7" x14ac:dyDescent="0.25">
      <c r="A51" s="84" t="s">
        <v>327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>
        <f t="shared" si="10"/>
        <v>0</v>
      </c>
    </row>
    <row r="52" spans="1:7" x14ac:dyDescent="0.25">
      <c r="A52" s="84" t="s">
        <v>328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f t="shared" si="10"/>
        <v>0</v>
      </c>
    </row>
    <row r="53" spans="1:7" x14ac:dyDescent="0.25">
      <c r="A53" s="84" t="s">
        <v>329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f t="shared" si="10"/>
        <v>0</v>
      </c>
    </row>
    <row r="54" spans="1:7" x14ac:dyDescent="0.25">
      <c r="A54" s="84" t="s">
        <v>330</v>
      </c>
      <c r="B54" s="80">
        <v>50000</v>
      </c>
      <c r="C54" s="80">
        <v>0</v>
      </c>
      <c r="D54" s="80">
        <v>50000</v>
      </c>
      <c r="E54" s="80">
        <v>8474.9599999999991</v>
      </c>
      <c r="F54" s="80">
        <v>8474.9599999999991</v>
      </c>
      <c r="G54" s="80">
        <f t="shared" si="10"/>
        <v>41525.040000000001</v>
      </c>
    </row>
    <row r="55" spans="1:7" x14ac:dyDescent="0.25">
      <c r="A55" s="84" t="s">
        <v>331</v>
      </c>
      <c r="B55" s="80">
        <v>0</v>
      </c>
      <c r="C55" s="80">
        <v>0</v>
      </c>
      <c r="D55" s="80">
        <v>0</v>
      </c>
      <c r="E55" s="80">
        <v>0</v>
      </c>
      <c r="F55" s="80">
        <v>0</v>
      </c>
      <c r="G55" s="80">
        <f t="shared" si="10"/>
        <v>0</v>
      </c>
    </row>
    <row r="56" spans="1:7" x14ac:dyDescent="0.25">
      <c r="A56" s="84" t="s">
        <v>332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f t="shared" si="10"/>
        <v>0</v>
      </c>
    </row>
    <row r="57" spans="1:7" x14ac:dyDescent="0.25">
      <c r="A57" s="84" t="s">
        <v>333</v>
      </c>
      <c r="B57" s="80">
        <v>613285</v>
      </c>
      <c r="C57" s="80">
        <v>0</v>
      </c>
      <c r="D57" s="80">
        <v>613285</v>
      </c>
      <c r="E57" s="80">
        <v>610530.04</v>
      </c>
      <c r="F57" s="80">
        <v>610530.04</v>
      </c>
      <c r="G57" s="80">
        <f t="shared" si="10"/>
        <v>2754.9599999999627</v>
      </c>
    </row>
    <row r="58" spans="1:7" x14ac:dyDescent="0.25">
      <c r="A58" s="83" t="s">
        <v>334</v>
      </c>
      <c r="B58" s="80">
        <f>SUM(B59:B61)</f>
        <v>0</v>
      </c>
      <c r="C58" s="80">
        <f t="shared" ref="C58:G58" si="11">SUM(C59:C61)</f>
        <v>0</v>
      </c>
      <c r="D58" s="80">
        <f t="shared" si="11"/>
        <v>0</v>
      </c>
      <c r="E58" s="80">
        <f t="shared" si="11"/>
        <v>0</v>
      </c>
      <c r="F58" s="80">
        <f t="shared" si="11"/>
        <v>0</v>
      </c>
      <c r="G58" s="80">
        <f t="shared" si="11"/>
        <v>0</v>
      </c>
    </row>
    <row r="59" spans="1:7" x14ac:dyDescent="0.25">
      <c r="A59" s="84" t="s">
        <v>335</v>
      </c>
      <c r="B59" s="80">
        <v>0</v>
      </c>
      <c r="C59" s="80">
        <v>0</v>
      </c>
      <c r="D59" s="80">
        <v>0</v>
      </c>
      <c r="E59" s="80">
        <v>0</v>
      </c>
      <c r="F59" s="80">
        <v>0</v>
      </c>
      <c r="G59" s="80">
        <f>D59-E59</f>
        <v>0</v>
      </c>
    </row>
    <row r="60" spans="1:7" x14ac:dyDescent="0.25">
      <c r="A60" s="84" t="s">
        <v>336</v>
      </c>
      <c r="B60" s="80">
        <v>0</v>
      </c>
      <c r="C60" s="80">
        <v>0</v>
      </c>
      <c r="D60" s="80">
        <v>0</v>
      </c>
      <c r="E60" s="80">
        <v>0</v>
      </c>
      <c r="F60" s="80">
        <v>0</v>
      </c>
      <c r="G60" s="80">
        <f t="shared" ref="G60:G61" si="12">D60-E60</f>
        <v>0</v>
      </c>
    </row>
    <row r="61" spans="1:7" x14ac:dyDescent="0.25">
      <c r="A61" s="84" t="s">
        <v>337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G61" s="80">
        <f t="shared" si="12"/>
        <v>0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13">SUM(C63:C67,C69:C70)</f>
        <v>0</v>
      </c>
      <c r="D62" s="80">
        <f t="shared" si="13"/>
        <v>0</v>
      </c>
      <c r="E62" s="80">
        <f t="shared" si="13"/>
        <v>0</v>
      </c>
      <c r="F62" s="80">
        <f t="shared" si="13"/>
        <v>0</v>
      </c>
      <c r="G62" s="80">
        <f t="shared" si="13"/>
        <v>0</v>
      </c>
    </row>
    <row r="63" spans="1:7" x14ac:dyDescent="0.25">
      <c r="A63" s="84" t="s">
        <v>339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f>D63-E63</f>
        <v>0</v>
      </c>
    </row>
    <row r="64" spans="1:7" x14ac:dyDescent="0.25">
      <c r="A64" s="84" t="s">
        <v>340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f t="shared" ref="G64:G70" si="14">D64-E64</f>
        <v>0</v>
      </c>
    </row>
    <row r="65" spans="1:7" x14ac:dyDescent="0.25">
      <c r="A65" s="84" t="s">
        <v>341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f t="shared" si="14"/>
        <v>0</v>
      </c>
    </row>
    <row r="66" spans="1:7" x14ac:dyDescent="0.25">
      <c r="A66" s="84" t="s">
        <v>342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f t="shared" si="14"/>
        <v>0</v>
      </c>
    </row>
    <row r="67" spans="1:7" x14ac:dyDescent="0.25">
      <c r="A67" s="84" t="s">
        <v>343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f t="shared" si="14"/>
        <v>0</v>
      </c>
    </row>
    <row r="68" spans="1:7" x14ac:dyDescent="0.25">
      <c r="A68" s="84" t="s">
        <v>3301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f t="shared" si="14"/>
        <v>0</v>
      </c>
    </row>
    <row r="69" spans="1:7" x14ac:dyDescent="0.25">
      <c r="A69" s="84" t="s">
        <v>345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f t="shared" si="14"/>
        <v>0</v>
      </c>
    </row>
    <row r="70" spans="1:7" x14ac:dyDescent="0.25">
      <c r="A70" s="84" t="s">
        <v>346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f t="shared" si="14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15">SUM(C72:C74)</f>
        <v>0</v>
      </c>
      <c r="D71" s="80">
        <f t="shared" si="15"/>
        <v>0</v>
      </c>
      <c r="E71" s="80">
        <f t="shared" si="15"/>
        <v>0</v>
      </c>
      <c r="F71" s="80">
        <f t="shared" si="15"/>
        <v>0</v>
      </c>
      <c r="G71" s="80">
        <f t="shared" si="15"/>
        <v>0</v>
      </c>
    </row>
    <row r="72" spans="1:7" x14ac:dyDescent="0.25">
      <c r="A72" s="84" t="s">
        <v>348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G72" s="80">
        <f>D72-E72</f>
        <v>0</v>
      </c>
    </row>
    <row r="73" spans="1:7" x14ac:dyDescent="0.25">
      <c r="A73" s="84" t="s">
        <v>349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f t="shared" ref="G73:G74" si="16">D73-E73</f>
        <v>0</v>
      </c>
    </row>
    <row r="74" spans="1:7" x14ac:dyDescent="0.25">
      <c r="A74" s="84" t="s">
        <v>350</v>
      </c>
      <c r="B74" s="80">
        <v>0</v>
      </c>
      <c r="C74" s="80">
        <v>0</v>
      </c>
      <c r="D74" s="80">
        <v>0</v>
      </c>
      <c r="E74" s="80">
        <v>0</v>
      </c>
      <c r="F74" s="80">
        <v>0</v>
      </c>
      <c r="G74" s="80">
        <f t="shared" si="16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17">SUM(C76:C82)</f>
        <v>0</v>
      </c>
      <c r="D75" s="80">
        <f t="shared" si="17"/>
        <v>0</v>
      </c>
      <c r="E75" s="80">
        <f t="shared" si="17"/>
        <v>0</v>
      </c>
      <c r="F75" s="80">
        <f t="shared" si="17"/>
        <v>0</v>
      </c>
      <c r="G75" s="80">
        <f t="shared" si="17"/>
        <v>0</v>
      </c>
    </row>
    <row r="76" spans="1:7" x14ac:dyDescent="0.25">
      <c r="A76" s="84" t="s">
        <v>352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f>D76-E76</f>
        <v>0</v>
      </c>
    </row>
    <row r="77" spans="1:7" x14ac:dyDescent="0.25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f t="shared" ref="G77:G82" si="18">D77-E77</f>
        <v>0</v>
      </c>
    </row>
    <row r="78" spans="1:7" x14ac:dyDescent="0.25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f t="shared" si="18"/>
        <v>0</v>
      </c>
    </row>
    <row r="79" spans="1:7" x14ac:dyDescent="0.25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f t="shared" si="18"/>
        <v>0</v>
      </c>
    </row>
    <row r="80" spans="1:7" x14ac:dyDescent="0.25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f t="shared" si="18"/>
        <v>0</v>
      </c>
    </row>
    <row r="81" spans="1:7" x14ac:dyDescent="0.25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f t="shared" si="18"/>
        <v>0</v>
      </c>
    </row>
    <row r="82" spans="1:7" x14ac:dyDescent="0.25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f t="shared" si="18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19">SUM(C85,C93,C103,C113,C123,C133,C137,C146,C150)</f>
        <v>0</v>
      </c>
      <c r="D84" s="79">
        <f t="shared" si="19"/>
        <v>0</v>
      </c>
      <c r="E84" s="79">
        <f t="shared" si="19"/>
        <v>0</v>
      </c>
      <c r="F84" s="79">
        <f t="shared" si="19"/>
        <v>0</v>
      </c>
      <c r="G84" s="79">
        <f t="shared" si="19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20">SUM(C86:C92)</f>
        <v>0</v>
      </c>
      <c r="D85" s="80">
        <f t="shared" si="20"/>
        <v>0</v>
      </c>
      <c r="E85" s="80">
        <f t="shared" si="20"/>
        <v>0</v>
      </c>
      <c r="F85" s="80">
        <f t="shared" si="20"/>
        <v>0</v>
      </c>
      <c r="G85" s="80">
        <f t="shared" si="20"/>
        <v>0</v>
      </c>
    </row>
    <row r="86" spans="1:7" x14ac:dyDescent="0.25">
      <c r="A86" s="84" t="s">
        <v>287</v>
      </c>
      <c r="B86" s="80">
        <v>0</v>
      </c>
      <c r="C86" s="80">
        <v>0</v>
      </c>
      <c r="D86" s="80">
        <v>0</v>
      </c>
      <c r="E86" s="80">
        <v>0</v>
      </c>
      <c r="F86" s="80">
        <v>0</v>
      </c>
      <c r="G86" s="80">
        <f>D86-E86</f>
        <v>0</v>
      </c>
    </row>
    <row r="87" spans="1:7" x14ac:dyDescent="0.25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f t="shared" ref="G87:G92" si="21">D87-E87</f>
        <v>0</v>
      </c>
    </row>
    <row r="88" spans="1:7" x14ac:dyDescent="0.25">
      <c r="A88" s="84" t="s">
        <v>289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0">
        <f t="shared" si="21"/>
        <v>0</v>
      </c>
    </row>
    <row r="89" spans="1:7" x14ac:dyDescent="0.25">
      <c r="A89" s="84" t="s">
        <v>290</v>
      </c>
      <c r="B89" s="80">
        <v>0</v>
      </c>
      <c r="C89" s="80">
        <v>0</v>
      </c>
      <c r="D89" s="80">
        <v>0</v>
      </c>
      <c r="E89" s="80">
        <v>0</v>
      </c>
      <c r="F89" s="80">
        <v>0</v>
      </c>
      <c r="G89" s="80">
        <f t="shared" si="21"/>
        <v>0</v>
      </c>
    </row>
    <row r="90" spans="1:7" x14ac:dyDescent="0.25">
      <c r="A90" s="84" t="s">
        <v>291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G90" s="80">
        <f t="shared" si="21"/>
        <v>0</v>
      </c>
    </row>
    <row r="91" spans="1:7" x14ac:dyDescent="0.25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f t="shared" si="21"/>
        <v>0</v>
      </c>
    </row>
    <row r="92" spans="1:7" x14ac:dyDescent="0.25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f t="shared" si="21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22">SUM(C94:C102)</f>
        <v>0</v>
      </c>
      <c r="D93" s="80">
        <f t="shared" si="22"/>
        <v>0</v>
      </c>
      <c r="E93" s="80">
        <f t="shared" si="22"/>
        <v>0</v>
      </c>
      <c r="F93" s="80">
        <f t="shared" si="22"/>
        <v>0</v>
      </c>
      <c r="G93" s="80">
        <f t="shared" si="22"/>
        <v>0</v>
      </c>
    </row>
    <row r="94" spans="1:7" x14ac:dyDescent="0.25">
      <c r="A94" s="84" t="s">
        <v>295</v>
      </c>
      <c r="B94" s="80">
        <v>0</v>
      </c>
      <c r="C94" s="80">
        <v>0</v>
      </c>
      <c r="D94" s="80">
        <v>0</v>
      </c>
      <c r="E94" s="80">
        <v>0</v>
      </c>
      <c r="F94" s="80">
        <v>0</v>
      </c>
      <c r="G94" s="80">
        <f>D94-E94</f>
        <v>0</v>
      </c>
    </row>
    <row r="95" spans="1:7" x14ac:dyDescent="0.25">
      <c r="A95" s="84" t="s">
        <v>296</v>
      </c>
      <c r="B95" s="80">
        <v>0</v>
      </c>
      <c r="C95" s="80">
        <v>0</v>
      </c>
      <c r="D95" s="80">
        <v>0</v>
      </c>
      <c r="E95" s="80">
        <v>0</v>
      </c>
      <c r="F95" s="80">
        <v>0</v>
      </c>
      <c r="G95" s="80">
        <f t="shared" ref="G95:G102" si="23">D95-E95</f>
        <v>0</v>
      </c>
    </row>
    <row r="96" spans="1:7" x14ac:dyDescent="0.25">
      <c r="A96" s="84" t="s">
        <v>297</v>
      </c>
      <c r="B96" s="80">
        <v>0</v>
      </c>
      <c r="C96" s="80">
        <v>0</v>
      </c>
      <c r="D96" s="80">
        <v>0</v>
      </c>
      <c r="E96" s="80">
        <v>0</v>
      </c>
      <c r="F96" s="80">
        <v>0</v>
      </c>
      <c r="G96" s="80">
        <f t="shared" si="23"/>
        <v>0</v>
      </c>
    </row>
    <row r="97" spans="1:7" x14ac:dyDescent="0.25">
      <c r="A97" s="84" t="s">
        <v>298</v>
      </c>
      <c r="B97" s="80">
        <v>0</v>
      </c>
      <c r="C97" s="80">
        <v>0</v>
      </c>
      <c r="D97" s="80">
        <v>0</v>
      </c>
      <c r="E97" s="80">
        <v>0</v>
      </c>
      <c r="F97" s="80">
        <v>0</v>
      </c>
      <c r="G97" s="80">
        <f t="shared" si="23"/>
        <v>0</v>
      </c>
    </row>
    <row r="98" spans="1:7" x14ac:dyDescent="0.25">
      <c r="A98" s="42" t="s">
        <v>299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G98" s="80">
        <f t="shared" si="23"/>
        <v>0</v>
      </c>
    </row>
    <row r="99" spans="1:7" x14ac:dyDescent="0.25">
      <c r="A99" s="84" t="s">
        <v>300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f t="shared" si="23"/>
        <v>0</v>
      </c>
    </row>
    <row r="100" spans="1:7" x14ac:dyDescent="0.25">
      <c r="A100" s="84" t="s">
        <v>301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f t="shared" si="23"/>
        <v>0</v>
      </c>
    </row>
    <row r="101" spans="1:7" x14ac:dyDescent="0.25">
      <c r="A101" s="84" t="s">
        <v>302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G101" s="80">
        <f t="shared" si="23"/>
        <v>0</v>
      </c>
    </row>
    <row r="102" spans="1:7" x14ac:dyDescent="0.25">
      <c r="A102" s="84" t="s">
        <v>303</v>
      </c>
      <c r="B102" s="80">
        <v>0</v>
      </c>
      <c r="C102" s="80">
        <v>0</v>
      </c>
      <c r="D102" s="80">
        <v>0</v>
      </c>
      <c r="E102" s="80">
        <v>0</v>
      </c>
      <c r="F102" s="80">
        <v>0</v>
      </c>
      <c r="G102" s="80">
        <f t="shared" si="23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24">SUM(D104:D112)</f>
        <v>0</v>
      </c>
      <c r="E103" s="80">
        <f t="shared" si="24"/>
        <v>0</v>
      </c>
      <c r="F103" s="80">
        <f t="shared" si="24"/>
        <v>0</v>
      </c>
      <c r="G103" s="80">
        <f t="shared" si="24"/>
        <v>0</v>
      </c>
    </row>
    <row r="104" spans="1:7" x14ac:dyDescent="0.25">
      <c r="A104" s="84" t="s">
        <v>305</v>
      </c>
      <c r="B104" s="80">
        <v>0</v>
      </c>
      <c r="C104" s="80">
        <v>0</v>
      </c>
      <c r="D104" s="80">
        <v>0</v>
      </c>
      <c r="E104" s="80">
        <v>0</v>
      </c>
      <c r="F104" s="80">
        <v>0</v>
      </c>
      <c r="G104" s="80">
        <f>D104-E104</f>
        <v>0</v>
      </c>
    </row>
    <row r="105" spans="1:7" x14ac:dyDescent="0.25">
      <c r="A105" s="84" t="s">
        <v>306</v>
      </c>
      <c r="B105" s="80">
        <v>0</v>
      </c>
      <c r="C105" s="80">
        <v>0</v>
      </c>
      <c r="D105" s="80">
        <v>0</v>
      </c>
      <c r="E105" s="80">
        <v>0</v>
      </c>
      <c r="F105" s="80">
        <v>0</v>
      </c>
      <c r="G105" s="80">
        <f t="shared" ref="G105:G112" si="25">D105-E105</f>
        <v>0</v>
      </c>
    </row>
    <row r="106" spans="1:7" x14ac:dyDescent="0.25">
      <c r="A106" s="84" t="s">
        <v>307</v>
      </c>
      <c r="B106" s="80">
        <v>0</v>
      </c>
      <c r="C106" s="80">
        <v>0</v>
      </c>
      <c r="D106" s="80">
        <v>0</v>
      </c>
      <c r="E106" s="80">
        <v>0</v>
      </c>
      <c r="F106" s="80">
        <v>0</v>
      </c>
      <c r="G106" s="80">
        <f t="shared" si="25"/>
        <v>0</v>
      </c>
    </row>
    <row r="107" spans="1:7" x14ac:dyDescent="0.25">
      <c r="A107" s="84" t="s">
        <v>308</v>
      </c>
      <c r="B107" s="80">
        <v>0</v>
      </c>
      <c r="C107" s="80">
        <v>0</v>
      </c>
      <c r="D107" s="80">
        <v>0</v>
      </c>
      <c r="E107" s="80">
        <v>0</v>
      </c>
      <c r="F107" s="80">
        <v>0</v>
      </c>
      <c r="G107" s="80">
        <f t="shared" si="25"/>
        <v>0</v>
      </c>
    </row>
    <row r="108" spans="1:7" x14ac:dyDescent="0.25">
      <c r="A108" s="84" t="s">
        <v>309</v>
      </c>
      <c r="B108" s="80">
        <v>0</v>
      </c>
      <c r="C108" s="80">
        <v>0</v>
      </c>
      <c r="D108" s="80">
        <v>0</v>
      </c>
      <c r="E108" s="80">
        <v>0</v>
      </c>
      <c r="F108" s="80">
        <v>0</v>
      </c>
      <c r="G108" s="80">
        <f t="shared" si="25"/>
        <v>0</v>
      </c>
    </row>
    <row r="109" spans="1:7" x14ac:dyDescent="0.25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f t="shared" si="25"/>
        <v>0</v>
      </c>
    </row>
    <row r="110" spans="1:7" x14ac:dyDescent="0.25">
      <c r="A110" s="84" t="s">
        <v>311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G110" s="80">
        <f t="shared" si="25"/>
        <v>0</v>
      </c>
    </row>
    <row r="111" spans="1:7" x14ac:dyDescent="0.25">
      <c r="A111" s="84" t="s">
        <v>312</v>
      </c>
      <c r="B111" s="80">
        <v>0</v>
      </c>
      <c r="C111" s="80">
        <v>0</v>
      </c>
      <c r="D111" s="80">
        <v>0</v>
      </c>
      <c r="E111" s="80">
        <v>0</v>
      </c>
      <c r="F111" s="80">
        <v>0</v>
      </c>
      <c r="G111" s="80">
        <f t="shared" si="25"/>
        <v>0</v>
      </c>
    </row>
    <row r="112" spans="1:7" x14ac:dyDescent="0.25">
      <c r="A112" s="84" t="s">
        <v>313</v>
      </c>
      <c r="B112" s="80">
        <v>0</v>
      </c>
      <c r="C112" s="80">
        <v>0</v>
      </c>
      <c r="D112" s="80">
        <v>0</v>
      </c>
      <c r="E112" s="80">
        <v>0</v>
      </c>
      <c r="F112" s="80">
        <v>0</v>
      </c>
      <c r="G112" s="80">
        <f t="shared" si="25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26">SUM(C114:C122)</f>
        <v>0</v>
      </c>
      <c r="D113" s="80">
        <f t="shared" si="26"/>
        <v>0</v>
      </c>
      <c r="E113" s="80">
        <f t="shared" si="26"/>
        <v>0</v>
      </c>
      <c r="F113" s="80">
        <f t="shared" si="26"/>
        <v>0</v>
      </c>
      <c r="G113" s="80">
        <f t="shared" si="26"/>
        <v>0</v>
      </c>
    </row>
    <row r="114" spans="1:7" x14ac:dyDescent="0.25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f>D114-E114</f>
        <v>0</v>
      </c>
    </row>
    <row r="115" spans="1:7" x14ac:dyDescent="0.25">
      <c r="A115" s="84" t="s">
        <v>316</v>
      </c>
      <c r="B115" s="80">
        <v>0</v>
      </c>
      <c r="C115" s="80">
        <v>0</v>
      </c>
      <c r="D115" s="80">
        <v>0</v>
      </c>
      <c r="E115" s="80">
        <v>0</v>
      </c>
      <c r="F115" s="80">
        <v>0</v>
      </c>
      <c r="G115" s="80">
        <f t="shared" ref="G115:G122" si="27">D115-E115</f>
        <v>0</v>
      </c>
    </row>
    <row r="116" spans="1:7" x14ac:dyDescent="0.25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f t="shared" si="27"/>
        <v>0</v>
      </c>
    </row>
    <row r="117" spans="1:7" x14ac:dyDescent="0.25">
      <c r="A117" s="84" t="s">
        <v>318</v>
      </c>
      <c r="B117" s="80">
        <v>0</v>
      </c>
      <c r="C117" s="80">
        <v>0</v>
      </c>
      <c r="D117" s="80">
        <v>0</v>
      </c>
      <c r="E117" s="80">
        <v>0</v>
      </c>
      <c r="F117" s="80">
        <v>0</v>
      </c>
      <c r="G117" s="80">
        <f t="shared" si="27"/>
        <v>0</v>
      </c>
    </row>
    <row r="118" spans="1:7" x14ac:dyDescent="0.25">
      <c r="A118" s="84" t="s">
        <v>319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f t="shared" si="27"/>
        <v>0</v>
      </c>
    </row>
    <row r="119" spans="1:7" x14ac:dyDescent="0.25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f t="shared" si="27"/>
        <v>0</v>
      </c>
    </row>
    <row r="120" spans="1:7" x14ac:dyDescent="0.25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f t="shared" si="27"/>
        <v>0</v>
      </c>
    </row>
    <row r="121" spans="1:7" x14ac:dyDescent="0.25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f t="shared" si="27"/>
        <v>0</v>
      </c>
    </row>
    <row r="122" spans="1:7" x14ac:dyDescent="0.25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f t="shared" si="27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28">SUM(C124:C132)</f>
        <v>0</v>
      </c>
      <c r="D123" s="80">
        <f t="shared" si="28"/>
        <v>0</v>
      </c>
      <c r="E123" s="80">
        <f t="shared" si="28"/>
        <v>0</v>
      </c>
      <c r="F123" s="80">
        <f t="shared" si="28"/>
        <v>0</v>
      </c>
      <c r="G123" s="80">
        <f t="shared" si="28"/>
        <v>0</v>
      </c>
    </row>
    <row r="124" spans="1:7" x14ac:dyDescent="0.25">
      <c r="A124" s="84" t="s">
        <v>325</v>
      </c>
      <c r="B124" s="80">
        <v>0</v>
      </c>
      <c r="C124" s="80">
        <v>0</v>
      </c>
      <c r="D124" s="80">
        <v>0</v>
      </c>
      <c r="E124" s="80">
        <v>0</v>
      </c>
      <c r="F124" s="80">
        <v>0</v>
      </c>
      <c r="G124" s="80">
        <f>D124-E124</f>
        <v>0</v>
      </c>
    </row>
    <row r="125" spans="1:7" x14ac:dyDescent="0.25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f t="shared" ref="G125:G132" si="29">D125-E125</f>
        <v>0</v>
      </c>
    </row>
    <row r="126" spans="1:7" x14ac:dyDescent="0.25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f t="shared" si="29"/>
        <v>0</v>
      </c>
    </row>
    <row r="127" spans="1:7" x14ac:dyDescent="0.25">
      <c r="A127" s="84" t="s">
        <v>328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f t="shared" si="29"/>
        <v>0</v>
      </c>
    </row>
    <row r="128" spans="1:7" x14ac:dyDescent="0.25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f t="shared" si="29"/>
        <v>0</v>
      </c>
    </row>
    <row r="129" spans="1:7" x14ac:dyDescent="0.25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f t="shared" si="29"/>
        <v>0</v>
      </c>
    </row>
    <row r="130" spans="1:7" x14ac:dyDescent="0.25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f t="shared" si="29"/>
        <v>0</v>
      </c>
    </row>
    <row r="131" spans="1:7" x14ac:dyDescent="0.25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f t="shared" si="29"/>
        <v>0</v>
      </c>
    </row>
    <row r="132" spans="1:7" x14ac:dyDescent="0.25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f t="shared" si="29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30">SUM(C134:C136)</f>
        <v>0</v>
      </c>
      <c r="D133" s="80">
        <f t="shared" si="30"/>
        <v>0</v>
      </c>
      <c r="E133" s="80">
        <f t="shared" si="30"/>
        <v>0</v>
      </c>
      <c r="F133" s="80">
        <f t="shared" si="30"/>
        <v>0</v>
      </c>
      <c r="G133" s="80">
        <f t="shared" si="30"/>
        <v>0</v>
      </c>
    </row>
    <row r="134" spans="1:7" x14ac:dyDescent="0.25">
      <c r="A134" s="84" t="s">
        <v>335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f>D134-E134</f>
        <v>0</v>
      </c>
    </row>
    <row r="135" spans="1:7" x14ac:dyDescent="0.25">
      <c r="A135" s="84" t="s">
        <v>336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f t="shared" ref="G135:G136" si="31">D135-E135</f>
        <v>0</v>
      </c>
    </row>
    <row r="136" spans="1:7" x14ac:dyDescent="0.25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f t="shared" si="31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32">SUM(C138:C142,C144:C145)</f>
        <v>0</v>
      </c>
      <c r="D137" s="80">
        <f t="shared" si="32"/>
        <v>0</v>
      </c>
      <c r="E137" s="80">
        <f t="shared" si="32"/>
        <v>0</v>
      </c>
      <c r="F137" s="80">
        <f t="shared" si="32"/>
        <v>0</v>
      </c>
      <c r="G137" s="80">
        <f t="shared" si="32"/>
        <v>0</v>
      </c>
    </row>
    <row r="138" spans="1:7" x14ac:dyDescent="0.25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f>D138-E138</f>
        <v>0</v>
      </c>
    </row>
    <row r="139" spans="1:7" x14ac:dyDescent="0.25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f t="shared" ref="G139:G145" si="33">D139-E139</f>
        <v>0</v>
      </c>
    </row>
    <row r="140" spans="1:7" x14ac:dyDescent="0.25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f t="shared" si="33"/>
        <v>0</v>
      </c>
    </row>
    <row r="141" spans="1:7" x14ac:dyDescent="0.25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f t="shared" si="33"/>
        <v>0</v>
      </c>
    </row>
    <row r="142" spans="1:7" x14ac:dyDescent="0.25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f t="shared" si="33"/>
        <v>0</v>
      </c>
    </row>
    <row r="143" spans="1:7" x14ac:dyDescent="0.25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f t="shared" si="33"/>
        <v>0</v>
      </c>
    </row>
    <row r="144" spans="1:7" x14ac:dyDescent="0.25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f t="shared" si="33"/>
        <v>0</v>
      </c>
    </row>
    <row r="145" spans="1:7" x14ac:dyDescent="0.25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f t="shared" si="33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34">SUM(C147:C149)</f>
        <v>0</v>
      </c>
      <c r="D146" s="80">
        <f t="shared" si="34"/>
        <v>0</v>
      </c>
      <c r="E146" s="80">
        <f t="shared" si="34"/>
        <v>0</v>
      </c>
      <c r="F146" s="80">
        <f t="shared" si="34"/>
        <v>0</v>
      </c>
      <c r="G146" s="80">
        <f t="shared" si="34"/>
        <v>0</v>
      </c>
    </row>
    <row r="147" spans="1:7" x14ac:dyDescent="0.25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f>D147-E147</f>
        <v>0</v>
      </c>
    </row>
    <row r="148" spans="1:7" x14ac:dyDescent="0.25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f t="shared" ref="G148:G149" si="35">D148-E148</f>
        <v>0</v>
      </c>
    </row>
    <row r="149" spans="1:7" x14ac:dyDescent="0.25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f t="shared" si="35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36">SUM(C151:C157)</f>
        <v>0</v>
      </c>
      <c r="D150" s="80">
        <f t="shared" si="36"/>
        <v>0</v>
      </c>
      <c r="E150" s="80">
        <f t="shared" si="36"/>
        <v>0</v>
      </c>
      <c r="F150" s="80">
        <f t="shared" si="36"/>
        <v>0</v>
      </c>
      <c r="G150" s="80">
        <f t="shared" si="36"/>
        <v>0</v>
      </c>
    </row>
    <row r="151" spans="1:7" x14ac:dyDescent="0.25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f>D151-E151</f>
        <v>0</v>
      </c>
    </row>
    <row r="152" spans="1:7" x14ac:dyDescent="0.25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f t="shared" ref="G152:G157" si="37">D152-E152</f>
        <v>0</v>
      </c>
    </row>
    <row r="153" spans="1:7" x14ac:dyDescent="0.25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f t="shared" si="37"/>
        <v>0</v>
      </c>
    </row>
    <row r="154" spans="1:7" x14ac:dyDescent="0.25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f t="shared" si="37"/>
        <v>0</v>
      </c>
    </row>
    <row r="155" spans="1:7" x14ac:dyDescent="0.25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f t="shared" si="37"/>
        <v>0</v>
      </c>
    </row>
    <row r="156" spans="1:7" x14ac:dyDescent="0.25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f t="shared" si="37"/>
        <v>0</v>
      </c>
    </row>
    <row r="157" spans="1:7" x14ac:dyDescent="0.25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f t="shared" si="37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41690432.002592862</v>
      </c>
      <c r="C159" s="79">
        <f t="shared" ref="C159:G159" si="38">C9+C84</f>
        <v>3518405.8400000003</v>
      </c>
      <c r="D159" s="79">
        <f t="shared" si="38"/>
        <v>45208837.842592865</v>
      </c>
      <c r="E159" s="79">
        <f t="shared" si="38"/>
        <v>42410353.630000003</v>
      </c>
      <c r="F159" s="79">
        <f t="shared" si="38"/>
        <v>41685841.930000007</v>
      </c>
      <c r="G159" s="79">
        <f t="shared" si="38"/>
        <v>2798484.2125928686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00000000-0002-0000-0D00-000000000000}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41690432.002592862</v>
      </c>
      <c r="Q2" s="18">
        <f>'Formato 6 a)'!C9</f>
        <v>3518405.8400000003</v>
      </c>
      <c r="R2" s="18">
        <f>'Formato 6 a)'!D9</f>
        <v>45208837.842592865</v>
      </c>
      <c r="S2" s="18">
        <f>'Formato 6 a)'!E9</f>
        <v>42410353.630000003</v>
      </c>
      <c r="T2" s="18">
        <f>'Formato 6 a)'!F9</f>
        <v>41685841.930000007</v>
      </c>
      <c r="U2" s="18">
        <f>'Formato 6 a)'!G9</f>
        <v>2798484.2125928686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29968985.702592865</v>
      </c>
      <c r="Q3" s="18">
        <f>'Formato 6 a)'!C10</f>
        <v>0</v>
      </c>
      <c r="R3" s="18">
        <f>'Formato 6 a)'!D10</f>
        <v>29968985.702592865</v>
      </c>
      <c r="S3" s="18">
        <f>'Formato 6 a)'!E10</f>
        <v>28075487.780000001</v>
      </c>
      <c r="T3" s="18">
        <f>'Formato 6 a)'!F10</f>
        <v>27501147.080000002</v>
      </c>
      <c r="U3" s="18">
        <f>'Formato 6 a)'!G10</f>
        <v>1893497.9225928695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18172449.728595</v>
      </c>
      <c r="Q4" s="18">
        <f>'Formato 6 a)'!C11</f>
        <v>0</v>
      </c>
      <c r="R4" s="18">
        <f>'Formato 6 a)'!D11</f>
        <v>18172449.728595</v>
      </c>
      <c r="S4" s="18">
        <f>'Formato 6 a)'!E11</f>
        <v>17094035.879999999</v>
      </c>
      <c r="T4" s="18">
        <f>'Formato 6 a)'!F11</f>
        <v>17094035.879999999</v>
      </c>
      <c r="U4" s="18">
        <f>'Formato 6 a)'!G11</f>
        <v>1078413.8485950008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3023661.5745395683</v>
      </c>
      <c r="Q6" s="18">
        <f>'Formato 6 a)'!C13</f>
        <v>0</v>
      </c>
      <c r="R6" s="18">
        <f>'Formato 6 a)'!D13</f>
        <v>3023661.5745395683</v>
      </c>
      <c r="S6" s="18">
        <f>'Formato 6 a)'!E13</f>
        <v>2852829.7600000002</v>
      </c>
      <c r="T6" s="18">
        <f>'Formato 6 a)'!F13</f>
        <v>2852829.76</v>
      </c>
      <c r="U6" s="18">
        <f>'Formato 6 a)'!G13</f>
        <v>170831.81453956803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4458889.175469907</v>
      </c>
      <c r="Q7" s="18">
        <f>'Formato 6 a)'!C14</f>
        <v>0</v>
      </c>
      <c r="R7" s="18">
        <f>'Formato 6 a)'!D14</f>
        <v>4458889.175469907</v>
      </c>
      <c r="S7" s="18">
        <f>'Formato 6 a)'!E14</f>
        <v>4172613.0699999994</v>
      </c>
      <c r="T7" s="18">
        <f>'Formato 6 a)'!F14</f>
        <v>3598272.3699999996</v>
      </c>
      <c r="U7" s="18">
        <f>'Formato 6 a)'!G14</f>
        <v>286276.10546990763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4313985.2239883933</v>
      </c>
      <c r="Q8" s="18">
        <f>'Formato 6 a)'!C15</f>
        <v>0</v>
      </c>
      <c r="R8" s="18">
        <f>'Formato 6 a)'!D15</f>
        <v>4313985.2239883933</v>
      </c>
      <c r="S8" s="18">
        <f>'Formato 6 a)'!E15</f>
        <v>3956009.0700000003</v>
      </c>
      <c r="T8" s="18">
        <f>'Formato 6 a)'!F15</f>
        <v>3956009.07</v>
      </c>
      <c r="U8" s="18">
        <f>'Formato 6 a)'!G15</f>
        <v>357976.15398839302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1386484.4300000002</v>
      </c>
      <c r="Q11" s="18">
        <f>'Formato 6 a)'!C18</f>
        <v>35000.000000000058</v>
      </c>
      <c r="R11" s="18">
        <f>'Formato 6 a)'!D18</f>
        <v>1421484.4300000002</v>
      </c>
      <c r="S11" s="18">
        <f>'Formato 6 a)'!E18</f>
        <v>1208783.7</v>
      </c>
      <c r="T11" s="18">
        <f>'Formato 6 a)'!F18</f>
        <v>1208783.7</v>
      </c>
      <c r="U11" s="18">
        <f>'Formato 6 a)'!G18</f>
        <v>212700.7300000001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473824.11000000004</v>
      </c>
      <c r="Q12" s="18">
        <f>'Formato 6 a)'!C19</f>
        <v>-86742.78</v>
      </c>
      <c r="R12" s="18">
        <f>'Formato 6 a)'!D19</f>
        <v>387081.33000000007</v>
      </c>
      <c r="S12" s="18">
        <f>'Formato 6 a)'!E19</f>
        <v>384115.49000000005</v>
      </c>
      <c r="T12" s="18">
        <f>'Formato 6 a)'!F19</f>
        <v>384115.49000000005</v>
      </c>
      <c r="U12" s="18">
        <f>'Formato 6 a)'!G19</f>
        <v>2965.8400000000256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0</v>
      </c>
      <c r="Q13" s="18">
        <f>'Formato 6 a)'!C20</f>
        <v>450</v>
      </c>
      <c r="R13" s="18">
        <f>'Formato 6 a)'!D20</f>
        <v>450</v>
      </c>
      <c r="S13" s="18">
        <f>'Formato 6 a)'!E20</f>
        <v>450</v>
      </c>
      <c r="T13" s="18">
        <f>'Formato 6 a)'!F20</f>
        <v>450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241380.32</v>
      </c>
      <c r="Q15" s="18">
        <f>'Formato 6 a)'!C22</f>
        <v>-49462.359999999986</v>
      </c>
      <c r="R15" s="18">
        <f>'Formato 6 a)'!D22</f>
        <v>191917.96000000002</v>
      </c>
      <c r="S15" s="18">
        <f>'Formato 6 a)'!E22</f>
        <v>128779.20000000001</v>
      </c>
      <c r="T15" s="18">
        <f>'Formato 6 a)'!F22</f>
        <v>128779.20000000001</v>
      </c>
      <c r="U15" s="18">
        <f>'Formato 6 a)'!G22</f>
        <v>63138.760000000009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30000</v>
      </c>
      <c r="Q16" s="18">
        <f>'Formato 6 a)'!C23</f>
        <v>7242.1300000000047</v>
      </c>
      <c r="R16" s="18">
        <f>'Formato 6 a)'!D23</f>
        <v>37242.130000000005</v>
      </c>
      <c r="S16" s="18">
        <f>'Formato 6 a)'!E23</f>
        <v>35801.130000000005</v>
      </c>
      <c r="T16" s="18">
        <f>'Formato 6 a)'!F23</f>
        <v>35801.130000000005</v>
      </c>
      <c r="U16" s="18">
        <f>'Formato 6 a)'!G23</f>
        <v>1441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500000</v>
      </c>
      <c r="Q17" s="18">
        <f>'Formato 6 a)'!C24</f>
        <v>-145000</v>
      </c>
      <c r="R17" s="18">
        <f>'Formato 6 a)'!D24</f>
        <v>355000</v>
      </c>
      <c r="S17" s="18">
        <f>'Formato 6 a)'!E24</f>
        <v>311495.44</v>
      </c>
      <c r="T17" s="18">
        <f>'Formato 6 a)'!F24</f>
        <v>311495.44</v>
      </c>
      <c r="U17" s="18">
        <f>'Formato 6 a)'!G24</f>
        <v>43504.56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33000</v>
      </c>
      <c r="Q18" s="18">
        <f>'Formato 6 a)'!C25</f>
        <v>33202</v>
      </c>
      <c r="R18" s="18">
        <f>'Formato 6 a)'!D25</f>
        <v>66202</v>
      </c>
      <c r="S18" s="18">
        <f>'Formato 6 a)'!E25</f>
        <v>20750</v>
      </c>
      <c r="T18" s="18">
        <f>'Formato 6 a)'!F25</f>
        <v>20750</v>
      </c>
      <c r="U18" s="18">
        <f>'Formato 6 a)'!G25</f>
        <v>45452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108280</v>
      </c>
      <c r="Q20" s="18">
        <f>'Formato 6 a)'!C27</f>
        <v>275311.01000000007</v>
      </c>
      <c r="R20" s="18">
        <f>'Formato 6 a)'!D27</f>
        <v>383591.01000000007</v>
      </c>
      <c r="S20" s="18">
        <f>'Formato 6 a)'!E27</f>
        <v>327392.44</v>
      </c>
      <c r="T20" s="18">
        <f>'Formato 6 a)'!F27</f>
        <v>327392.44</v>
      </c>
      <c r="U20" s="18">
        <f>'Formato 6 a)'!G27</f>
        <v>56198.570000000065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8054676.8700000001</v>
      </c>
      <c r="Q21" s="18">
        <f>'Formato 6 a)'!C28</f>
        <v>3483405.8400000003</v>
      </c>
      <c r="R21" s="18">
        <f>'Formato 6 a)'!D28</f>
        <v>11538082.710000001</v>
      </c>
      <c r="S21" s="18">
        <f>'Formato 6 a)'!E28</f>
        <v>10963146.130000001</v>
      </c>
      <c r="T21" s="18">
        <f>'Formato 6 a)'!F28</f>
        <v>10812975.130000001</v>
      </c>
      <c r="U21" s="18">
        <f>'Formato 6 a)'!G28</f>
        <v>574936.57999999938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344000</v>
      </c>
      <c r="Q22" s="18">
        <f>'Formato 6 a)'!C29</f>
        <v>609.92999999999995</v>
      </c>
      <c r="R22" s="18">
        <f>'Formato 6 a)'!D29</f>
        <v>344609.93</v>
      </c>
      <c r="S22" s="18">
        <f>'Formato 6 a)'!E29</f>
        <v>247107.52</v>
      </c>
      <c r="T22" s="18">
        <f>'Formato 6 a)'!F29</f>
        <v>247107.52</v>
      </c>
      <c r="U22" s="18">
        <f>'Formato 6 a)'!G29</f>
        <v>97502.41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43200</v>
      </c>
      <c r="Q23" s="18">
        <f>'Formato 6 a)'!C30</f>
        <v>-13343.599999999999</v>
      </c>
      <c r="R23" s="18">
        <f>'Formato 6 a)'!D30</f>
        <v>29856.400000000001</v>
      </c>
      <c r="S23" s="18">
        <f>'Formato 6 a)'!E30</f>
        <v>29685.550000000003</v>
      </c>
      <c r="T23" s="18">
        <f>'Formato 6 a)'!F30</f>
        <v>29685.550000000003</v>
      </c>
      <c r="U23" s="18">
        <f>'Formato 6 a)'!G30</f>
        <v>170.84999999999854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2098924</v>
      </c>
      <c r="Q24" s="18">
        <f>'Formato 6 a)'!C31</f>
        <v>654124.77</v>
      </c>
      <c r="R24" s="18">
        <f>'Formato 6 a)'!D31</f>
        <v>2753048.77</v>
      </c>
      <c r="S24" s="18">
        <f>'Formato 6 a)'!E31</f>
        <v>2730411.8600000003</v>
      </c>
      <c r="T24" s="18">
        <f>'Formato 6 a)'!F31</f>
        <v>2646891.86</v>
      </c>
      <c r="U24" s="18">
        <f>'Formato 6 a)'!G31</f>
        <v>22636.909999999683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300000</v>
      </c>
      <c r="Q25" s="18">
        <f>'Formato 6 a)'!C32</f>
        <v>332.69</v>
      </c>
      <c r="R25" s="18">
        <f>'Formato 6 a)'!D32</f>
        <v>300332.69</v>
      </c>
      <c r="S25" s="18">
        <f>'Formato 6 a)'!E32</f>
        <v>243271.99999999997</v>
      </c>
      <c r="T25" s="18">
        <f>'Formato 6 a)'!F32</f>
        <v>243271.99999999997</v>
      </c>
      <c r="U25" s="18">
        <f>'Formato 6 a)'!G32</f>
        <v>57060.690000000031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368112</v>
      </c>
      <c r="Q26" s="18">
        <f>'Formato 6 a)'!C33</f>
        <v>28070.980000000003</v>
      </c>
      <c r="R26" s="18">
        <f>'Formato 6 a)'!D33</f>
        <v>396182.98</v>
      </c>
      <c r="S26" s="18">
        <f>'Formato 6 a)'!E33</f>
        <v>179116.60000000003</v>
      </c>
      <c r="T26" s="18">
        <f>'Formato 6 a)'!F33</f>
        <v>179116.60000000003</v>
      </c>
      <c r="U26" s="18">
        <f>'Formato 6 a)'!G33</f>
        <v>217066.37999999995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600000</v>
      </c>
      <c r="Q27" s="18">
        <f>'Formato 6 a)'!C34</f>
        <v>-259720</v>
      </c>
      <c r="R27" s="18">
        <f>'Formato 6 a)'!D34</f>
        <v>340280</v>
      </c>
      <c r="S27" s="18">
        <f>'Formato 6 a)'!E34</f>
        <v>329203.36</v>
      </c>
      <c r="T27" s="18">
        <f>'Formato 6 a)'!F34</f>
        <v>329203.36</v>
      </c>
      <c r="U27" s="18">
        <f>'Formato 6 a)'!G34</f>
        <v>11076.640000000014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135000</v>
      </c>
      <c r="Q28" s="18">
        <f>'Formato 6 a)'!C35</f>
        <v>-125204</v>
      </c>
      <c r="R28" s="18">
        <f>'Formato 6 a)'!D35</f>
        <v>9796</v>
      </c>
      <c r="S28" s="18">
        <f>'Formato 6 a)'!E35</f>
        <v>9795.02</v>
      </c>
      <c r="T28" s="18">
        <f>'Formato 6 a)'!F35</f>
        <v>9795.02</v>
      </c>
      <c r="U28" s="18">
        <f>'Formato 6 a)'!G35</f>
        <v>0.97999999999956344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3645140.87</v>
      </c>
      <c r="Q29" s="18">
        <f>'Formato 6 a)'!C36</f>
        <v>3132289.0700000003</v>
      </c>
      <c r="R29" s="18">
        <f>'Formato 6 a)'!D36</f>
        <v>6777429.9400000004</v>
      </c>
      <c r="S29" s="18">
        <f>'Formato 6 a)'!E36</f>
        <v>6635043.2200000007</v>
      </c>
      <c r="T29" s="18">
        <f>'Formato 6 a)'!F36</f>
        <v>6635043.2200000007</v>
      </c>
      <c r="U29" s="18">
        <f>'Formato 6 a)'!G36</f>
        <v>142386.71999999974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520300</v>
      </c>
      <c r="Q30" s="18">
        <f>'Formato 6 a)'!C37</f>
        <v>66246</v>
      </c>
      <c r="R30" s="18">
        <f>'Formato 6 a)'!D37</f>
        <v>586546</v>
      </c>
      <c r="S30" s="18">
        <f>'Formato 6 a)'!E37</f>
        <v>559511</v>
      </c>
      <c r="T30" s="18">
        <f>'Formato 6 a)'!F37</f>
        <v>492860</v>
      </c>
      <c r="U30" s="18">
        <f>'Formato 6 a)'!G37</f>
        <v>27035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0</v>
      </c>
      <c r="Q31" s="18">
        <f>'Formato 6 a)'!C38</f>
        <v>0</v>
      </c>
      <c r="R31" s="18">
        <f>'Formato 6 a)'!D38</f>
        <v>0</v>
      </c>
      <c r="S31" s="18">
        <f>'Formato 6 a)'!E38</f>
        <v>0</v>
      </c>
      <c r="T31" s="18">
        <f>'Formato 6 a)'!F38</f>
        <v>0</v>
      </c>
      <c r="U31" s="18">
        <f>'Formato 6 a)'!G38</f>
        <v>0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2280285</v>
      </c>
      <c r="Q41" s="18">
        <f>'Formato 6 a)'!C48</f>
        <v>0</v>
      </c>
      <c r="R41" s="18">
        <f>'Formato 6 a)'!D48</f>
        <v>2280285</v>
      </c>
      <c r="S41" s="18">
        <f>'Formato 6 a)'!E48</f>
        <v>2162936.02</v>
      </c>
      <c r="T41" s="18">
        <f>'Formato 6 a)'!F48</f>
        <v>2162936.02</v>
      </c>
      <c r="U41" s="18">
        <f>'Formato 6 a)'!G48</f>
        <v>117348.97999999995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1567000</v>
      </c>
      <c r="Q42" s="18">
        <f>'Formato 6 a)'!C49</f>
        <v>0</v>
      </c>
      <c r="R42" s="18">
        <f>'Formato 6 a)'!D49</f>
        <v>1567000</v>
      </c>
      <c r="S42" s="18">
        <f>'Formato 6 a)'!E49</f>
        <v>1530732.02</v>
      </c>
      <c r="T42" s="18">
        <f>'Formato 6 a)'!F49</f>
        <v>1530732.02</v>
      </c>
      <c r="U42" s="18">
        <f>'Formato 6 a)'!G49</f>
        <v>36267.979999999981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50000</v>
      </c>
      <c r="Q43" s="18">
        <f>'Formato 6 a)'!C50</f>
        <v>0</v>
      </c>
      <c r="R43" s="18">
        <f>'Formato 6 a)'!D50</f>
        <v>50000</v>
      </c>
      <c r="S43" s="18">
        <f>'Formato 6 a)'!E50</f>
        <v>13199</v>
      </c>
      <c r="T43" s="18">
        <f>'Formato 6 a)'!F50</f>
        <v>13199</v>
      </c>
      <c r="U43" s="18">
        <f>'Formato 6 a)'!G50</f>
        <v>36801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50000</v>
      </c>
      <c r="Q47" s="18">
        <f>'Formato 6 a)'!C54</f>
        <v>0</v>
      </c>
      <c r="R47" s="18">
        <f>'Formato 6 a)'!D54</f>
        <v>50000</v>
      </c>
      <c r="S47" s="18">
        <f>'Formato 6 a)'!E54</f>
        <v>8474.9599999999991</v>
      </c>
      <c r="T47" s="18">
        <f>'Formato 6 a)'!F54</f>
        <v>8474.9599999999991</v>
      </c>
      <c r="U47" s="18">
        <f>'Formato 6 a)'!G54</f>
        <v>41525.040000000001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613285</v>
      </c>
      <c r="Q50" s="18">
        <f>'Formato 6 a)'!C57</f>
        <v>0</v>
      </c>
      <c r="R50" s="18">
        <f>'Formato 6 a)'!D57</f>
        <v>613285</v>
      </c>
      <c r="S50" s="18">
        <f>'Formato 6 a)'!E57</f>
        <v>610530.04</v>
      </c>
      <c r="T50" s="18">
        <f>'Formato 6 a)'!F57</f>
        <v>610530.04</v>
      </c>
      <c r="U50" s="18">
        <f>'Formato 6 a)'!G57</f>
        <v>2754.9599999999627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41690432.002592862</v>
      </c>
      <c r="Q150">
        <f>'Formato 6 a)'!C159</f>
        <v>3518405.8400000003</v>
      </c>
      <c r="R150">
        <f>'Formato 6 a)'!D159</f>
        <v>45208837.842592865</v>
      </c>
      <c r="S150">
        <f>'Formato 6 a)'!E159</f>
        <v>42410353.630000003</v>
      </c>
      <c r="T150">
        <f>'Formato 6 a)'!F159</f>
        <v>41685841.930000007</v>
      </c>
      <c r="U150">
        <f>'Formato 6 a)'!G159</f>
        <v>2798484.2125928686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71"/>
  <dimension ref="A1:G31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72" t="s">
        <v>3290</v>
      </c>
      <c r="B1" s="172"/>
      <c r="C1" s="172"/>
      <c r="D1" s="172"/>
      <c r="E1" s="172"/>
      <c r="F1" s="172"/>
      <c r="G1" s="172"/>
    </row>
    <row r="2" spans="1:7" ht="14.25" x14ac:dyDescent="0.45">
      <c r="A2" s="153" t="str">
        <f>ENTE_PUBLICO_A</f>
        <v>INSTITUTO MUNICIPAL DE LA JUVENTUD DE LEON GUANAJUATO,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277</v>
      </c>
      <c r="B3" s="157"/>
      <c r="C3" s="157"/>
      <c r="D3" s="157"/>
      <c r="E3" s="157"/>
      <c r="F3" s="157"/>
      <c r="G3" s="158"/>
    </row>
    <row r="4" spans="1:7" x14ac:dyDescent="0.25">
      <c r="A4" s="156" t="s">
        <v>431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31 de diciembre de 2021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0</v>
      </c>
      <c r="B7" s="170" t="s">
        <v>279</v>
      </c>
      <c r="C7" s="170"/>
      <c r="D7" s="170"/>
      <c r="E7" s="170"/>
      <c r="F7" s="170"/>
      <c r="G7" s="174" t="s">
        <v>280</v>
      </c>
    </row>
    <row r="8" spans="1:7" ht="30" x14ac:dyDescent="0.25">
      <c r="A8" s="169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3"/>
    </row>
    <row r="9" spans="1:7" ht="14.25" x14ac:dyDescent="0.45">
      <c r="A9" s="52" t="s">
        <v>440</v>
      </c>
      <c r="B9" s="59">
        <f>SUM(B10:GASTO_NE_FIN_01)</f>
        <v>41690432.002592862</v>
      </c>
      <c r="C9" s="59">
        <f>SUM(C10:GASTO_NE_FIN_02)</f>
        <v>3518405.8400000003</v>
      </c>
      <c r="D9" s="59">
        <f>SUM(D10:GASTO_NE_FIN_03)</f>
        <v>45208837.842592865</v>
      </c>
      <c r="E9" s="59">
        <f>SUM(E10:GASTO_NE_FIN_04)</f>
        <v>42410353.630000003</v>
      </c>
      <c r="F9" s="59">
        <f>SUM(F10:GASTO_NE_FIN_05)</f>
        <v>41685841.93</v>
      </c>
      <c r="G9" s="59">
        <f>SUM(G10:GASTO_NE_FIN_06)</f>
        <v>2798484.2125928625</v>
      </c>
    </row>
    <row r="10" spans="1:7" s="24" customFormat="1" x14ac:dyDescent="0.25">
      <c r="A10" s="144" t="s">
        <v>3305</v>
      </c>
      <c r="B10" s="60">
        <v>41690432.002592862</v>
      </c>
      <c r="C10" s="60">
        <v>3518405.8400000003</v>
      </c>
      <c r="D10" s="60">
        <v>45208837.842592865</v>
      </c>
      <c r="E10" s="60">
        <v>42410353.630000003</v>
      </c>
      <c r="F10" s="60">
        <v>41685841.93</v>
      </c>
      <c r="G10" s="77">
        <f>D10-E10</f>
        <v>2798484.2125928625</v>
      </c>
    </row>
    <row r="11" spans="1:7" s="24" customFormat="1" ht="14.25" x14ac:dyDescent="0.45">
      <c r="A11" s="144" t="s">
        <v>433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77">
        <f t="shared" ref="G11:G17" si="0">D11-E11</f>
        <v>0</v>
      </c>
    </row>
    <row r="12" spans="1:7" s="24" customFormat="1" ht="14.25" x14ac:dyDescent="0.45">
      <c r="A12" s="144" t="s">
        <v>434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77">
        <f t="shared" si="0"/>
        <v>0</v>
      </c>
    </row>
    <row r="13" spans="1:7" s="24" customFormat="1" ht="14.25" x14ac:dyDescent="0.45">
      <c r="A13" s="144" t="s">
        <v>435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77">
        <f t="shared" si="0"/>
        <v>0</v>
      </c>
    </row>
    <row r="14" spans="1:7" s="24" customFormat="1" ht="14.25" x14ac:dyDescent="0.45">
      <c r="A14" s="144" t="s">
        <v>436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77">
        <f t="shared" si="0"/>
        <v>0</v>
      </c>
    </row>
    <row r="15" spans="1:7" s="24" customFormat="1" ht="14.25" x14ac:dyDescent="0.45">
      <c r="A15" s="144" t="s">
        <v>437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77">
        <f t="shared" si="0"/>
        <v>0</v>
      </c>
    </row>
    <row r="16" spans="1:7" s="24" customFormat="1" ht="14.25" x14ac:dyDescent="0.45">
      <c r="A16" s="144" t="s">
        <v>438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77">
        <f t="shared" si="0"/>
        <v>0</v>
      </c>
    </row>
    <row r="17" spans="1:7" s="24" customFormat="1" ht="14.25" x14ac:dyDescent="0.45">
      <c r="A17" s="144" t="s">
        <v>439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77">
        <f t="shared" si="0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ht="14.25" x14ac:dyDescent="0.45">
      <c r="A20" s="144" t="s">
        <v>432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>D20-E20</f>
        <v>0</v>
      </c>
    </row>
    <row r="21" spans="1:7" s="24" customFormat="1" ht="14.25" x14ac:dyDescent="0.45">
      <c r="A21" s="144" t="s">
        <v>433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ref="G21:G27" si="1">D21-E21</f>
        <v>0</v>
      </c>
    </row>
    <row r="22" spans="1:7" s="24" customFormat="1" ht="14.25" x14ac:dyDescent="0.45">
      <c r="A22" s="144" t="s">
        <v>434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1"/>
        <v>0</v>
      </c>
    </row>
    <row r="23" spans="1:7" s="24" customFormat="1" x14ac:dyDescent="0.25">
      <c r="A23" s="144" t="s">
        <v>435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1"/>
        <v>0</v>
      </c>
    </row>
    <row r="24" spans="1:7" s="24" customFormat="1" x14ac:dyDescent="0.25">
      <c r="A24" s="144" t="s">
        <v>436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1"/>
        <v>0</v>
      </c>
    </row>
    <row r="25" spans="1:7" s="24" customFormat="1" x14ac:dyDescent="0.25">
      <c r="A25" s="144" t="s">
        <v>437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1"/>
        <v>0</v>
      </c>
    </row>
    <row r="26" spans="1:7" s="24" customFormat="1" x14ac:dyDescent="0.25">
      <c r="A26" s="144" t="s">
        <v>438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1"/>
        <v>0</v>
      </c>
    </row>
    <row r="27" spans="1:7" s="24" customFormat="1" x14ac:dyDescent="0.25">
      <c r="A27" s="144" t="s">
        <v>439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1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41690432.002592862</v>
      </c>
      <c r="C29" s="61">
        <f>GASTO_NE_T2+GASTO_E_T2</f>
        <v>3518405.8400000003</v>
      </c>
      <c r="D29" s="61">
        <f>GASTO_NE_T3+GASTO_E_T3</f>
        <v>45208837.842592865</v>
      </c>
      <c r="E29" s="61">
        <f>GASTO_NE_T4+GASTO_E_T4</f>
        <v>42410353.630000003</v>
      </c>
      <c r="F29" s="61">
        <f>GASTO_NE_T5+GASTO_E_T5</f>
        <v>41685841.93</v>
      </c>
      <c r="G29" s="61">
        <f>GASTO_NE_T6+GASTO_E_T6</f>
        <v>2798484.2125928625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 xr:uid="{00000000-0002-0000-0F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41690432.002592862</v>
      </c>
      <c r="Q2" s="18">
        <f>GASTO_NE_T2</f>
        <v>3518405.8400000003</v>
      </c>
      <c r="R2" s="18">
        <f>GASTO_NE_T3</f>
        <v>45208837.842592865</v>
      </c>
      <c r="S2" s="18">
        <f>GASTO_NE_T4</f>
        <v>42410353.630000003</v>
      </c>
      <c r="T2" s="18">
        <f>GASTO_NE_T5</f>
        <v>41685841.93</v>
      </c>
      <c r="U2" s="18">
        <f>GASTO_NE_T6</f>
        <v>2798484.2125928625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41690432.002592862</v>
      </c>
      <c r="Q4" s="18">
        <f>TOTAL_E_T2</f>
        <v>3518405.8400000003</v>
      </c>
      <c r="R4" s="18">
        <f>TOTAL_E_T3</f>
        <v>45208837.842592865</v>
      </c>
      <c r="S4" s="18">
        <f>TOTAL_E_T4</f>
        <v>42410353.630000003</v>
      </c>
      <c r="T4" s="18">
        <f>TOTAL_E_T5</f>
        <v>41685841.93</v>
      </c>
      <c r="U4" s="18">
        <f>TOTAL_E_T6</f>
        <v>2798484.2125928625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8"/>
  <dimension ref="A1:XFC78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78" t="s">
        <v>3289</v>
      </c>
      <c r="B1" s="179"/>
      <c r="C1" s="179"/>
      <c r="D1" s="179"/>
      <c r="E1" s="179"/>
      <c r="F1" s="179"/>
      <c r="G1" s="179"/>
    </row>
    <row r="2" spans="1:7" ht="14.25" x14ac:dyDescent="0.45">
      <c r="A2" s="153" t="str">
        <f>ENTE_PUBLICO_A</f>
        <v>INSTITUTO MUNICIPAL DE LA JUVENTUD DE LEON GUANAJUATO,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396</v>
      </c>
      <c r="B3" s="157"/>
      <c r="C3" s="157"/>
      <c r="D3" s="157"/>
      <c r="E3" s="157"/>
      <c r="F3" s="157"/>
      <c r="G3" s="158"/>
    </row>
    <row r="4" spans="1:7" x14ac:dyDescent="0.25">
      <c r="A4" s="156" t="s">
        <v>397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31 de diciembre de 2021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57" t="s">
        <v>0</v>
      </c>
      <c r="B7" s="162" t="s">
        <v>279</v>
      </c>
      <c r="C7" s="163"/>
      <c r="D7" s="163"/>
      <c r="E7" s="163"/>
      <c r="F7" s="164"/>
      <c r="G7" s="174" t="s">
        <v>3286</v>
      </c>
    </row>
    <row r="8" spans="1:7" ht="30.75" customHeight="1" x14ac:dyDescent="0.25">
      <c r="A8" s="157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3"/>
    </row>
    <row r="9" spans="1:7" ht="14.25" x14ac:dyDescent="0.45">
      <c r="A9" s="52" t="s">
        <v>363</v>
      </c>
      <c r="B9" s="70">
        <f>SUM(B10,B19,B27,B37)</f>
        <v>41690432.002592862</v>
      </c>
      <c r="C9" s="70">
        <f t="shared" ref="C9:G9" si="0">SUM(C10,C19,C27,C37)</f>
        <v>3518405.8400000003</v>
      </c>
      <c r="D9" s="70">
        <f t="shared" si="0"/>
        <v>45208837.842592865</v>
      </c>
      <c r="E9" s="70">
        <f t="shared" si="0"/>
        <v>42410353.630000003</v>
      </c>
      <c r="F9" s="70">
        <f t="shared" si="0"/>
        <v>41685841.93</v>
      </c>
      <c r="G9" s="70">
        <f t="shared" si="0"/>
        <v>2798484.212592863</v>
      </c>
    </row>
    <row r="10" spans="1:7" ht="14.25" x14ac:dyDescent="0.4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f>D11-E11</f>
        <v>0</v>
      </c>
    </row>
    <row r="12" spans="1:7" ht="14.25" x14ac:dyDescent="0.45">
      <c r="A12" s="63" t="s">
        <v>366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f t="shared" ref="G12:G18" si="2">D12-E12</f>
        <v>0</v>
      </c>
    </row>
    <row r="13" spans="1:7" x14ac:dyDescent="0.25">
      <c r="A13" s="63" t="s">
        <v>367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f t="shared" si="2"/>
        <v>0</v>
      </c>
    </row>
    <row r="14" spans="1:7" ht="14.25" x14ac:dyDescent="0.45">
      <c r="A14" s="63" t="s">
        <v>368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f t="shared" si="2"/>
        <v>0</v>
      </c>
    </row>
    <row r="15" spans="1:7" ht="14.25" x14ac:dyDescent="0.45">
      <c r="A15" s="63" t="s">
        <v>369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f t="shared" si="2"/>
        <v>0</v>
      </c>
    </row>
    <row r="16" spans="1:7" ht="14.25" x14ac:dyDescent="0.45">
      <c r="A16" s="63" t="s">
        <v>370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f t="shared" si="2"/>
        <v>0</v>
      </c>
    </row>
    <row r="17" spans="1:7" x14ac:dyDescent="0.25">
      <c r="A17" s="63" t="s">
        <v>371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f t="shared" si="2"/>
        <v>0</v>
      </c>
    </row>
    <row r="18" spans="1:7" ht="14.25" x14ac:dyDescent="0.45">
      <c r="A18" s="63" t="s">
        <v>372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f t="shared" si="2"/>
        <v>0</v>
      </c>
    </row>
    <row r="19" spans="1:7" ht="14.25" x14ac:dyDescent="0.45">
      <c r="A19" s="53" t="s">
        <v>373</v>
      </c>
      <c r="B19" s="71">
        <f>SUM(B20:B26)</f>
        <v>41690432.002592862</v>
      </c>
      <c r="C19" s="71">
        <f t="shared" ref="C19:F19" si="3">SUM(C20:C26)</f>
        <v>3518405.8400000003</v>
      </c>
      <c r="D19" s="71">
        <f t="shared" si="3"/>
        <v>45208837.842592865</v>
      </c>
      <c r="E19" s="71">
        <f t="shared" si="3"/>
        <v>42410353.630000003</v>
      </c>
      <c r="F19" s="71">
        <f t="shared" si="3"/>
        <v>41685841.93</v>
      </c>
      <c r="G19" s="71">
        <f>SUM(G20:G26)</f>
        <v>2798484.212592863</v>
      </c>
    </row>
    <row r="20" spans="1:7" x14ac:dyDescent="0.25">
      <c r="A20" s="63" t="s">
        <v>374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2">
        <f>D20-E20</f>
        <v>0</v>
      </c>
    </row>
    <row r="21" spans="1:7" ht="14.25" x14ac:dyDescent="0.45">
      <c r="A21" s="63" t="s">
        <v>375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2">
        <f t="shared" ref="G21:G26" si="4">D21-E21</f>
        <v>0</v>
      </c>
    </row>
    <row r="22" spans="1:7" ht="14.25" x14ac:dyDescent="0.45">
      <c r="A22" s="63" t="s">
        <v>376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2">
        <f t="shared" si="4"/>
        <v>0</v>
      </c>
    </row>
    <row r="23" spans="1:7" x14ac:dyDescent="0.25">
      <c r="A23" s="63" t="s">
        <v>377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2">
        <f t="shared" si="4"/>
        <v>0</v>
      </c>
    </row>
    <row r="24" spans="1:7" x14ac:dyDescent="0.25">
      <c r="A24" s="63" t="s">
        <v>378</v>
      </c>
      <c r="B24" s="71">
        <v>0</v>
      </c>
      <c r="C24" s="71">
        <v>2600000</v>
      </c>
      <c r="D24" s="71">
        <v>2600000</v>
      </c>
      <c r="E24" s="71">
        <v>2599999.89</v>
      </c>
      <c r="F24" s="71">
        <v>2599999.89</v>
      </c>
      <c r="G24" s="72">
        <f t="shared" si="4"/>
        <v>0.10999999986961484</v>
      </c>
    </row>
    <row r="25" spans="1:7" x14ac:dyDescent="0.25">
      <c r="A25" s="63" t="s">
        <v>379</v>
      </c>
      <c r="B25" s="71"/>
      <c r="C25" s="71"/>
      <c r="D25" s="71"/>
      <c r="E25" s="71"/>
      <c r="F25" s="71"/>
      <c r="G25" s="72">
        <f t="shared" si="4"/>
        <v>0</v>
      </c>
    </row>
    <row r="26" spans="1:7" x14ac:dyDescent="0.25">
      <c r="A26" s="63" t="s">
        <v>380</v>
      </c>
      <c r="B26" s="71">
        <v>41690432.002592862</v>
      </c>
      <c r="C26" s="71">
        <v>918405.84000000032</v>
      </c>
      <c r="D26" s="71">
        <v>42608837.842592865</v>
      </c>
      <c r="E26" s="71">
        <v>39810353.740000002</v>
      </c>
      <c r="F26" s="71">
        <v>39085842.039999999</v>
      </c>
      <c r="G26" s="72">
        <f t="shared" si="4"/>
        <v>2798484.1025928631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5">SUM(C28:C36)</f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>SUM(G28:G36)</f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2">
        <f>D28-E28</f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2">
        <f t="shared" ref="G29:G36" si="6">D29-E29</f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2">
        <f t="shared" si="6"/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2">
        <f t="shared" si="6"/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2">
        <f t="shared" si="6"/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2">
        <f t="shared" si="6"/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71">
        <v>0</v>
      </c>
      <c r="F34" s="71">
        <v>0</v>
      </c>
      <c r="G34" s="72">
        <f t="shared" si="6"/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71">
        <v>0</v>
      </c>
      <c r="F35" s="71">
        <v>0</v>
      </c>
      <c r="G35" s="72">
        <f t="shared" si="6"/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71">
        <v>0</v>
      </c>
      <c r="F36" s="71">
        <v>0</v>
      </c>
      <c r="G36" s="72">
        <f t="shared" si="6"/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F37" si="7">SUM(C38:C41)</f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>SUM(G38:G41)</f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72">
        <f>D38-E38</f>
        <v>0</v>
      </c>
    </row>
    <row r="39" spans="1:7" ht="30" x14ac:dyDescent="0.25">
      <c r="A39" s="69" t="s">
        <v>392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2">
        <f t="shared" ref="G39:G41" si="8">D39-E39</f>
        <v>0</v>
      </c>
    </row>
    <row r="40" spans="1:7" x14ac:dyDescent="0.25">
      <c r="A40" s="69" t="s">
        <v>393</v>
      </c>
      <c r="B40" s="72">
        <v>0</v>
      </c>
      <c r="C40" s="72">
        <v>0</v>
      </c>
      <c r="D40" s="72">
        <v>0</v>
      </c>
      <c r="E40" s="72">
        <v>0</v>
      </c>
      <c r="F40" s="72">
        <v>0</v>
      </c>
      <c r="G40" s="72">
        <f t="shared" si="8"/>
        <v>0</v>
      </c>
    </row>
    <row r="41" spans="1:7" x14ac:dyDescent="0.25">
      <c r="A41" s="69" t="s">
        <v>394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72">
        <f t="shared" si="8"/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9">SUM(C44,C53,C61,C71)</f>
        <v>0</v>
      </c>
      <c r="D43" s="73">
        <f t="shared" si="9"/>
        <v>0</v>
      </c>
      <c r="E43" s="73">
        <f t="shared" si="9"/>
        <v>0</v>
      </c>
      <c r="F43" s="73">
        <f t="shared" si="9"/>
        <v>0</v>
      </c>
      <c r="G43" s="73">
        <f t="shared" si="9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10">SUM(C45:C52)</f>
        <v>0</v>
      </c>
      <c r="D44" s="72">
        <f t="shared" si="10"/>
        <v>0</v>
      </c>
      <c r="E44" s="72">
        <f t="shared" si="10"/>
        <v>0</v>
      </c>
      <c r="F44" s="72">
        <f t="shared" si="10"/>
        <v>0</v>
      </c>
      <c r="G44" s="72">
        <f t="shared" si="10"/>
        <v>0</v>
      </c>
    </row>
    <row r="45" spans="1:7" x14ac:dyDescent="0.25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25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52" si="11">D46-E46</f>
        <v>0</v>
      </c>
    </row>
    <row r="47" spans="1:7" x14ac:dyDescent="0.25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11"/>
        <v>0</v>
      </c>
    </row>
    <row r="48" spans="1:7" x14ac:dyDescent="0.25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11"/>
        <v>0</v>
      </c>
    </row>
    <row r="49" spans="1:7" x14ac:dyDescent="0.25">
      <c r="A49" s="69" t="s">
        <v>369</v>
      </c>
      <c r="B49" s="72">
        <v>0</v>
      </c>
      <c r="C49" s="72">
        <v>0</v>
      </c>
      <c r="D49" s="72">
        <v>0</v>
      </c>
      <c r="E49" s="72">
        <v>0</v>
      </c>
      <c r="F49" s="72">
        <v>0</v>
      </c>
      <c r="G49" s="72">
        <f t="shared" si="11"/>
        <v>0</v>
      </c>
    </row>
    <row r="50" spans="1:7" x14ac:dyDescent="0.25">
      <c r="A50" s="69" t="s">
        <v>370</v>
      </c>
      <c r="B50" s="72">
        <v>0</v>
      </c>
      <c r="C50" s="72">
        <v>0</v>
      </c>
      <c r="D50" s="72">
        <v>0</v>
      </c>
      <c r="E50" s="72">
        <v>0</v>
      </c>
      <c r="F50" s="72">
        <v>0</v>
      </c>
      <c r="G50" s="72">
        <f t="shared" si="11"/>
        <v>0</v>
      </c>
    </row>
    <row r="51" spans="1:7" x14ac:dyDescent="0.25">
      <c r="A51" s="69" t="s">
        <v>371</v>
      </c>
      <c r="B51" s="72">
        <v>0</v>
      </c>
      <c r="C51" s="72">
        <v>0</v>
      </c>
      <c r="D51" s="72">
        <v>0</v>
      </c>
      <c r="E51" s="72">
        <v>0</v>
      </c>
      <c r="F51" s="72">
        <v>0</v>
      </c>
      <c r="G51" s="72">
        <f t="shared" si="11"/>
        <v>0</v>
      </c>
    </row>
    <row r="52" spans="1:7" x14ac:dyDescent="0.25">
      <c r="A52" s="69" t="s">
        <v>372</v>
      </c>
      <c r="B52" s="72">
        <v>0</v>
      </c>
      <c r="C52" s="72">
        <v>0</v>
      </c>
      <c r="D52" s="72">
        <v>0</v>
      </c>
      <c r="E52" s="72">
        <v>0</v>
      </c>
      <c r="F52" s="72">
        <v>0</v>
      </c>
      <c r="G52" s="72">
        <f t="shared" si="11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2">SUM(C54:C60)</f>
        <v>0</v>
      </c>
      <c r="D53" s="71">
        <f t="shared" si="12"/>
        <v>0</v>
      </c>
      <c r="E53" s="71">
        <f t="shared" si="12"/>
        <v>0</v>
      </c>
      <c r="F53" s="71">
        <f t="shared" si="12"/>
        <v>0</v>
      </c>
      <c r="G53" s="71">
        <f t="shared" si="12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71">
        <v>0</v>
      </c>
      <c r="C55" s="71">
        <v>0</v>
      </c>
      <c r="D55" s="71">
        <v>0</v>
      </c>
      <c r="E55" s="71">
        <v>0</v>
      </c>
      <c r="F55" s="71">
        <v>0</v>
      </c>
      <c r="G55" s="72">
        <f t="shared" ref="G55:G60" si="13">D55-E55</f>
        <v>0</v>
      </c>
    </row>
    <row r="56" spans="1:7" x14ac:dyDescent="0.25">
      <c r="A56" s="69" t="s">
        <v>376</v>
      </c>
      <c r="B56" s="71">
        <v>0</v>
      </c>
      <c r="C56" s="71">
        <v>0</v>
      </c>
      <c r="D56" s="71">
        <v>0</v>
      </c>
      <c r="E56" s="71">
        <v>0</v>
      </c>
      <c r="F56" s="71">
        <v>0</v>
      </c>
      <c r="G56" s="72">
        <f t="shared" si="13"/>
        <v>0</v>
      </c>
    </row>
    <row r="57" spans="1:7" x14ac:dyDescent="0.25">
      <c r="A57" s="48" t="s">
        <v>377</v>
      </c>
      <c r="B57" s="71">
        <v>0</v>
      </c>
      <c r="C57" s="71">
        <v>0</v>
      </c>
      <c r="D57" s="71">
        <v>0</v>
      </c>
      <c r="E57" s="71">
        <v>0</v>
      </c>
      <c r="F57" s="71">
        <v>0</v>
      </c>
      <c r="G57" s="72">
        <f t="shared" si="13"/>
        <v>0</v>
      </c>
    </row>
    <row r="58" spans="1:7" x14ac:dyDescent="0.25">
      <c r="A58" s="69" t="s">
        <v>378</v>
      </c>
      <c r="B58" s="71">
        <v>0</v>
      </c>
      <c r="C58" s="71">
        <v>0</v>
      </c>
      <c r="D58" s="71">
        <v>0</v>
      </c>
      <c r="E58" s="71">
        <v>0</v>
      </c>
      <c r="F58" s="71">
        <v>0</v>
      </c>
      <c r="G58" s="72">
        <f t="shared" si="13"/>
        <v>0</v>
      </c>
    </row>
    <row r="59" spans="1:7" x14ac:dyDescent="0.25">
      <c r="A59" s="69" t="s">
        <v>379</v>
      </c>
      <c r="B59" s="71">
        <v>0</v>
      </c>
      <c r="C59" s="71">
        <v>0</v>
      </c>
      <c r="D59" s="71">
        <v>0</v>
      </c>
      <c r="E59" s="71">
        <v>0</v>
      </c>
      <c r="F59" s="71">
        <v>0</v>
      </c>
      <c r="G59" s="72">
        <f t="shared" si="13"/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si="13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4">SUM(C62:C70)</f>
        <v>0</v>
      </c>
      <c r="D61" s="71">
        <f t="shared" si="14"/>
        <v>0</v>
      </c>
      <c r="E61" s="71">
        <f t="shared" si="14"/>
        <v>0</v>
      </c>
      <c r="F61" s="71">
        <f t="shared" si="14"/>
        <v>0</v>
      </c>
      <c r="G61" s="71">
        <f t="shared" si="14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5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5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5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5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5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5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5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5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16">SUM(C72:C75)</f>
        <v>0</v>
      </c>
      <c r="D71" s="74">
        <f t="shared" si="16"/>
        <v>0</v>
      </c>
      <c r="E71" s="74">
        <f t="shared" si="16"/>
        <v>0</v>
      </c>
      <c r="F71" s="74">
        <f t="shared" si="16"/>
        <v>0</v>
      </c>
      <c r="G71" s="74">
        <f>SUM(G72:G75)</f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 t="shared" ref="G73:G75" si="17"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 t="shared" si="17"/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 t="shared" si="17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41690432.002592862</v>
      </c>
      <c r="C77" s="73">
        <f t="shared" ref="C77:F77" si="18">C43+C9</f>
        <v>3518405.8400000003</v>
      </c>
      <c r="D77" s="73">
        <f t="shared" si="18"/>
        <v>45208837.842592865</v>
      </c>
      <c r="E77" s="73">
        <f t="shared" si="18"/>
        <v>42410353.630000003</v>
      </c>
      <c r="F77" s="73">
        <f t="shared" si="18"/>
        <v>41685841.93</v>
      </c>
      <c r="G77" s="73">
        <f>G43+G9</f>
        <v>2798484.212592863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11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41690432.002592862</v>
      </c>
      <c r="Q2" s="18">
        <f>'Formato 6 c)'!C9</f>
        <v>3518405.8400000003</v>
      </c>
      <c r="R2" s="18">
        <f>'Formato 6 c)'!D9</f>
        <v>45208837.842592865</v>
      </c>
      <c r="S2" s="18">
        <f>'Formato 6 c)'!E9</f>
        <v>42410353.630000003</v>
      </c>
      <c r="T2" s="18">
        <f>'Formato 6 c)'!F9</f>
        <v>41685841.93</v>
      </c>
      <c r="U2" s="18">
        <f>'Formato 6 c)'!G9</f>
        <v>2798484.212592863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41690432.002592862</v>
      </c>
      <c r="Q12" s="18">
        <f>'Formato 6 c)'!C19</f>
        <v>3518405.8400000003</v>
      </c>
      <c r="R12" s="18">
        <f>'Formato 6 c)'!D19</f>
        <v>45208837.842592865</v>
      </c>
      <c r="S12" s="18">
        <f>'Formato 6 c)'!E19</f>
        <v>42410353.630000003</v>
      </c>
      <c r="T12" s="18">
        <f>'Formato 6 c)'!F19</f>
        <v>41685841.93</v>
      </c>
      <c r="U12" s="18">
        <f>'Formato 6 c)'!G19</f>
        <v>2798484.212592863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2600000</v>
      </c>
      <c r="R17" s="18">
        <f>'Formato 6 c)'!D24</f>
        <v>2600000</v>
      </c>
      <c r="S17" s="18">
        <f>'Formato 6 c)'!E24</f>
        <v>2599999.89</v>
      </c>
      <c r="T17" s="18">
        <f>'Formato 6 c)'!F24</f>
        <v>2599999.89</v>
      </c>
      <c r="U17" s="18">
        <f>'Formato 6 c)'!G24</f>
        <v>0.10999999986961484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41690432.002592862</v>
      </c>
      <c r="Q19" s="18">
        <f>'Formato 6 c)'!C26</f>
        <v>918405.84000000032</v>
      </c>
      <c r="R19" s="18">
        <f>'Formato 6 c)'!D26</f>
        <v>42608837.842592865</v>
      </c>
      <c r="S19" s="18">
        <f>'Formato 6 c)'!E26</f>
        <v>39810353.740000002</v>
      </c>
      <c r="T19" s="18">
        <f>'Formato 6 c)'!F26</f>
        <v>39085842.039999999</v>
      </c>
      <c r="U19" s="18">
        <f>'Formato 6 c)'!G26</f>
        <v>2798484.1025928631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41690432.002592862</v>
      </c>
      <c r="Q68" s="18">
        <f>'Formato 6 c)'!C77</f>
        <v>3518405.8400000003</v>
      </c>
      <c r="R68" s="18">
        <f>'Formato 6 c)'!D77</f>
        <v>45208837.842592865</v>
      </c>
      <c r="S68" s="18">
        <f>'Formato 6 c)'!E77</f>
        <v>42410353.630000003</v>
      </c>
      <c r="T68" s="18">
        <f>'Formato 6 c)'!F77</f>
        <v>41685841.93</v>
      </c>
      <c r="U68" s="18">
        <f>'Formato 6 c)'!G77</f>
        <v>2798484.212592863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INSTITUTO MUNICIPAL DE LA JUVENTUD DE LEON GUANAJUATO, Gobierno del Estado de Guanajuato</v>
      </c>
    </row>
    <row r="7" spans="2:3" ht="14.25" x14ac:dyDescent="0.45">
      <c r="C7" t="str">
        <f>CONCATENATE(ENTE_PUBLICO," (a)")</f>
        <v>INSTITUTO MUNICIPAL DE LA JUVENTUD DE LEON GUANAJUATO,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1147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25">
      <c r="B12" t="s">
        <v>794</v>
      </c>
      <c r="C12" s="24">
        <v>2021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4</v>
      </c>
    </row>
    <row r="16" spans="2:3" ht="14.25" x14ac:dyDescent="0.45">
      <c r="C16" s="24" t="s">
        <v>3304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2021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2021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2021 (m = g – l)</v>
      </c>
    </row>
    <row r="20" spans="4:9" ht="57" x14ac:dyDescent="0.45">
      <c r="D20" s="21" t="str">
        <f>CONCATENATE(ANIO_INFORME, " (d)")</f>
        <v>2021 (d)</v>
      </c>
      <c r="E20" s="22" t="str">
        <f>CONCATENATE("31 de diciembre de ",ANIO_INFORME-1, " (e)")</f>
        <v>31 de diciembre de 2020 (e)</v>
      </c>
      <c r="F20" s="31" t="str">
        <f>CONCATENATE("Saldo al 31 de diciembre de ",ANIO_INFORME-1, " (d)")</f>
        <v>Saldo al 31 de diciembre de 2020 (d)</v>
      </c>
    </row>
    <row r="23" spans="4:9" ht="14.25" x14ac:dyDescent="0.45">
      <c r="D23" s="33">
        <f>ANIO_INFORME + 1</f>
        <v>2022</v>
      </c>
      <c r="E23" s="34" t="str">
        <f>CONCATENATE(ANIO_INFORME + 2, " (d)")</f>
        <v>2023 (d)</v>
      </c>
      <c r="F23" s="34" t="str">
        <f>CONCATENATE(ANIO_INFORME + 3, " (d)")</f>
        <v>2024 (d)</v>
      </c>
      <c r="G23" s="34" t="str">
        <f>CONCATENATE(ANIO_INFORME + 4, " (d)")</f>
        <v>2025 (d)</v>
      </c>
      <c r="H23" s="34" t="str">
        <f>CONCATENATE(ANIO_INFORME + 5, " (d)")</f>
        <v>2026 (d)</v>
      </c>
      <c r="I23" s="34" t="str">
        <f>CONCATENATE(ANIO_INFORME + 6, " (d)")</f>
        <v>2027 (d)</v>
      </c>
    </row>
    <row r="25" spans="4:9" x14ac:dyDescent="0.25">
      <c r="D25" s="35" t="str">
        <f>CONCATENATE(ANIO_INFORME - 5, " ",CHAR(185)," (c)")</f>
        <v>2016 ¹ (c)</v>
      </c>
      <c r="E25" s="35" t="str">
        <f>CONCATENATE(ANIO_INFORME - 4, " ",CHAR(185)," (c)")</f>
        <v>2017 ¹ (c)</v>
      </c>
      <c r="F25" s="35" t="str">
        <f>CONCATENATE(ANIO_INFORME - 3, " ",CHAR(185)," (c)")</f>
        <v>2018 ¹ (c)</v>
      </c>
      <c r="G25" s="35" t="str">
        <f>CONCATENATE(ANIO_INFORME - 2, " ",CHAR(185)," (c)")</f>
        <v>2019 ¹ (c)</v>
      </c>
      <c r="H25" s="35" t="str">
        <f>CONCATENATE(ANIO_INFORME - 1, " ",CHAR(185)," (c)")</f>
        <v>2020 ¹ (c)</v>
      </c>
      <c r="I25" s="33">
        <f>ANIO_INFORME</f>
        <v>2021</v>
      </c>
    </row>
    <row r="26" spans="4:9" ht="14.25" x14ac:dyDescent="0.4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9"/>
  <dimension ref="A1:G34"/>
  <sheetViews>
    <sheetView showGridLines="0" topLeftCell="B1" zoomScale="90" zoomScaleNormal="90" workbookViewId="0">
      <selection activeCell="F12" sqref="F12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72" t="s">
        <v>3287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ENTE_PUBLICO_A</f>
        <v>INSTITUTO MUNICIPAL DE LA JUVENTUD DE LEON GUANAJUATO,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9" t="s">
        <v>277</v>
      </c>
      <c r="B3" s="160"/>
      <c r="C3" s="160"/>
      <c r="D3" s="160"/>
      <c r="E3" s="160"/>
      <c r="F3" s="160"/>
      <c r="G3" s="161"/>
    </row>
    <row r="4" spans="1:7" x14ac:dyDescent="0.25">
      <c r="A4" s="159" t="s">
        <v>399</v>
      </c>
      <c r="B4" s="160"/>
      <c r="C4" s="160"/>
      <c r="D4" s="160"/>
      <c r="E4" s="160"/>
      <c r="F4" s="160"/>
      <c r="G4" s="161"/>
    </row>
    <row r="5" spans="1:7" ht="14.25" x14ac:dyDescent="0.45">
      <c r="A5" s="159" t="str">
        <f>TRIMESTRE</f>
        <v>Del 1 de enero al 31 de diciembre de 2021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361</v>
      </c>
      <c r="B7" s="173" t="s">
        <v>279</v>
      </c>
      <c r="C7" s="173"/>
      <c r="D7" s="173"/>
      <c r="E7" s="173"/>
      <c r="F7" s="173"/>
      <c r="G7" s="173" t="s">
        <v>280</v>
      </c>
    </row>
    <row r="8" spans="1:7" ht="29.25" customHeight="1" x14ac:dyDescent="0.25">
      <c r="A8" s="169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0"/>
    </row>
    <row r="9" spans="1:7" ht="14.25" x14ac:dyDescent="0.45">
      <c r="A9" s="52" t="s">
        <v>400</v>
      </c>
      <c r="B9" s="66">
        <f>SUM(B10,B11,B12,B15,B16,B19)</f>
        <v>29968985.702592865</v>
      </c>
      <c r="C9" s="66">
        <f t="shared" ref="C9:F9" si="0">SUM(C10,C11,C12,C15,C16,C19)</f>
        <v>0</v>
      </c>
      <c r="D9" s="66">
        <f t="shared" si="0"/>
        <v>29968985.702592865</v>
      </c>
      <c r="E9" s="66">
        <f t="shared" si="0"/>
        <v>28075487.780000001</v>
      </c>
      <c r="F9" s="66">
        <f t="shared" si="0"/>
        <v>27501147.080000002</v>
      </c>
      <c r="G9" s="66">
        <f>SUM(G10,G11,G12,G15,G16,G19)</f>
        <v>1893497.9225928634</v>
      </c>
    </row>
    <row r="10" spans="1:7" x14ac:dyDescent="0.25">
      <c r="A10" s="53" t="s">
        <v>401</v>
      </c>
      <c r="B10" s="67">
        <v>29968985.702592865</v>
      </c>
      <c r="C10" s="67">
        <v>0</v>
      </c>
      <c r="D10" s="67">
        <v>29968985.702592865</v>
      </c>
      <c r="E10" s="67">
        <v>28075487.780000001</v>
      </c>
      <c r="F10" s="67">
        <v>27501147.080000002</v>
      </c>
      <c r="G10" s="67">
        <f>D10-E10</f>
        <v>1893497.9225928634</v>
      </c>
    </row>
    <row r="11" spans="1:7" ht="14.25" x14ac:dyDescent="0.4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ht="14.25" x14ac:dyDescent="0.45">
      <c r="A12" s="53" t="s">
        <v>403</v>
      </c>
      <c r="B12" s="67">
        <f>B13+B14</f>
        <v>0</v>
      </c>
      <c r="C12" s="67">
        <f>C13+C14</f>
        <v>0</v>
      </c>
      <c r="D12" s="67">
        <f t="shared" ref="D12:F12" si="1">D13+D14</f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ht="14.25" x14ac:dyDescent="0.4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ht="14.25" x14ac:dyDescent="0.4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ht="14.25" x14ac:dyDescent="0.4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ht="14.25" x14ac:dyDescent="0.4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ht="14.25" x14ac:dyDescent="0.45">
      <c r="A22" s="53" t="s">
        <v>401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7">
        <f>D22-E22</f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29968985.702592865</v>
      </c>
      <c r="C33" s="66">
        <f t="shared" ref="C33:G33" si="9">C21+C9</f>
        <v>0</v>
      </c>
      <c r="D33" s="66">
        <f t="shared" si="9"/>
        <v>29968985.702592865</v>
      </c>
      <c r="E33" s="66">
        <f t="shared" si="9"/>
        <v>28075487.780000001</v>
      </c>
      <c r="F33" s="66">
        <f t="shared" si="9"/>
        <v>27501147.080000002</v>
      </c>
      <c r="G33" s="66">
        <f t="shared" si="9"/>
        <v>1893497.9225928634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1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29968985.702592865</v>
      </c>
      <c r="Q2" s="18">
        <f>'Formato 6 d)'!C9</f>
        <v>0</v>
      </c>
      <c r="R2" s="18">
        <f>'Formato 6 d)'!D9</f>
        <v>29968985.702592865</v>
      </c>
      <c r="S2" s="18">
        <f>'Formato 6 d)'!E9</f>
        <v>28075487.780000001</v>
      </c>
      <c r="T2" s="18">
        <f>'Formato 6 d)'!F9</f>
        <v>27501147.080000002</v>
      </c>
      <c r="U2" s="18">
        <f>'Formato 6 d)'!G9</f>
        <v>1893497.9225928634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29968985.702592865</v>
      </c>
      <c r="Q3" s="18">
        <f>'Formato 6 d)'!C10</f>
        <v>0</v>
      </c>
      <c r="R3" s="18">
        <f>'Formato 6 d)'!D10</f>
        <v>29968985.702592865</v>
      </c>
      <c r="S3" s="18">
        <f>'Formato 6 d)'!E10</f>
        <v>28075487.780000001</v>
      </c>
      <c r="T3" s="18">
        <f>'Formato 6 d)'!F10</f>
        <v>27501147.080000002</v>
      </c>
      <c r="U3" s="18">
        <f>'Formato 6 d)'!G10</f>
        <v>1893497.9225928634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29968985.702592865</v>
      </c>
      <c r="Q24" s="18">
        <f>'Formato 6 d)'!C33</f>
        <v>0</v>
      </c>
      <c r="R24" s="18">
        <f>'Formato 6 d)'!D33</f>
        <v>29968985.702592865</v>
      </c>
      <c r="S24" s="18">
        <f>'Formato 6 d)'!E33</f>
        <v>28075487.780000001</v>
      </c>
      <c r="T24" s="18">
        <f>'Formato 6 d)'!F33</f>
        <v>27501147.080000002</v>
      </c>
      <c r="U24" s="18">
        <f>'Formato 6 d)'!G33</f>
        <v>1893497.9225928634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0"/>
  <dimension ref="A1:G43"/>
  <sheetViews>
    <sheetView showGridLines="0" zoomScale="85" zoomScaleNormal="85" zoomScalePageLayoutView="90" workbookViewId="0">
      <selection activeCell="D10" sqref="D10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171" t="s">
        <v>413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León,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414</v>
      </c>
      <c r="B3" s="157"/>
      <c r="C3" s="157"/>
      <c r="D3" s="157"/>
      <c r="E3" s="157"/>
      <c r="F3" s="157"/>
      <c r="G3" s="158"/>
    </row>
    <row r="4" spans="1:7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x14ac:dyDescent="0.25">
      <c r="A6" s="168" t="s">
        <v>3288</v>
      </c>
      <c r="B6" s="51">
        <f>ANIO1P</f>
        <v>2022</v>
      </c>
      <c r="C6" s="181" t="str">
        <f>ANIO2P</f>
        <v>2023 (d)</v>
      </c>
      <c r="D6" s="181" t="str">
        <f>ANIO3P</f>
        <v>2024 (d)</v>
      </c>
      <c r="E6" s="181" t="str">
        <f>ANIO4P</f>
        <v>2025 (d)</v>
      </c>
      <c r="F6" s="181" t="str">
        <f>ANIO5P</f>
        <v>2026 (d)</v>
      </c>
      <c r="G6" s="181" t="str">
        <f>ANIO6P</f>
        <v>2027 (d)</v>
      </c>
    </row>
    <row r="7" spans="1:7" ht="48" customHeight="1" x14ac:dyDescent="0.25">
      <c r="A7" s="169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421</v>
      </c>
      <c r="B8" s="59">
        <f>SUM(B9:B20)</f>
        <v>0</v>
      </c>
      <c r="C8" s="59">
        <f t="shared" ref="C8:G8" si="0">SUM(C9:C20)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ht="14.25" x14ac:dyDescent="0.4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ht="14.25" x14ac:dyDescent="0.4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14.25" x14ac:dyDescent="0.4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14.25" x14ac:dyDescent="0.4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ht="14.25" x14ac:dyDescent="0.4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14.25" x14ac:dyDescent="0.4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14.25" x14ac:dyDescent="0.45">
      <c r="A15" s="53" t="s">
        <v>417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ht="14.25" x14ac:dyDescent="0.4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ht="14.25" x14ac:dyDescent="0.45">
      <c r="A18" s="53" t="s">
        <v>240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ht="14.25" x14ac:dyDescent="0.4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0</v>
      </c>
      <c r="C22" s="61">
        <f t="shared" ref="C22:G22" si="1">SUM(C23:C27)</f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ht="14.25" x14ac:dyDescent="0.4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ht="14.25" x14ac:dyDescent="0.4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f t="shared" ref="C29:G29" si="2">C30</f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0</v>
      </c>
      <c r="C32" s="61">
        <f t="shared" ref="C32:F32" si="3">C29+C22+C8</f>
        <v>0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500-000000000000}"/>
    <dataValidation allowBlank="1" showInputMessage="1" showErrorMessage="1" prompt="Año 2 (d)" sqref="D6:D7" xr:uid="{00000000-0002-0000-1500-000001000000}"/>
    <dataValidation allowBlank="1" showInputMessage="1" showErrorMessage="1" prompt="Año 3 (d)" sqref="E6:E7" xr:uid="{00000000-0002-0000-1500-000002000000}"/>
    <dataValidation allowBlank="1" showInputMessage="1" showErrorMessage="1" prompt="Año 4 (d)" sqref="F6:F7" xr:uid="{00000000-0002-0000-1500-000003000000}"/>
    <dataValidation allowBlank="1" showInputMessage="1" showErrorMessage="1" prompt="Año 5 (d)" sqref="G6:G7" xr:uid="{00000000-0002-0000-1500-000004000000}"/>
    <dataValidation type="decimal" allowBlank="1" showInputMessage="1" showErrorMessage="1" sqref="B8:G37" xr:uid="{00000000-0002-0000-15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500-000006000000}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0</v>
      </c>
      <c r="Q2" s="18">
        <f>'Formato 7 a)'!C8</f>
        <v>0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0</v>
      </c>
      <c r="Q23" s="18">
        <f>'Formato 7 a)'!C32</f>
        <v>0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11"/>
  <dimension ref="A1:G31"/>
  <sheetViews>
    <sheetView showGridLines="0" zoomScale="90" zoomScaleNormal="90" workbookViewId="0">
      <selection activeCell="A12" sqref="A12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171" t="s">
        <v>451</v>
      </c>
      <c r="B1" s="171"/>
      <c r="C1" s="171"/>
      <c r="D1" s="171"/>
      <c r="E1" s="171"/>
      <c r="F1" s="171"/>
      <c r="G1" s="171"/>
    </row>
    <row r="2" spans="1:7" customFormat="1" ht="14.25" x14ac:dyDescent="0.45">
      <c r="A2" s="153" t="str">
        <f>ENTIDAD</f>
        <v>Municipio de León, Gobierno del Estado de Guanajuato</v>
      </c>
      <c r="B2" s="154"/>
      <c r="C2" s="154"/>
      <c r="D2" s="154"/>
      <c r="E2" s="154"/>
      <c r="F2" s="154"/>
      <c r="G2" s="155"/>
    </row>
    <row r="3" spans="1:7" customFormat="1" ht="14.25" x14ac:dyDescent="0.45">
      <c r="A3" s="156" t="s">
        <v>452</v>
      </c>
      <c r="B3" s="157"/>
      <c r="C3" s="157"/>
      <c r="D3" s="157"/>
      <c r="E3" s="157"/>
      <c r="F3" s="157"/>
      <c r="G3" s="158"/>
    </row>
    <row r="4" spans="1:7" customFormat="1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customFormat="1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customFormat="1" x14ac:dyDescent="0.25">
      <c r="A6" s="183" t="s">
        <v>3142</v>
      </c>
      <c r="B6" s="51">
        <f>ANIO1P</f>
        <v>2022</v>
      </c>
      <c r="C6" s="181" t="str">
        <f>ANIO2P</f>
        <v>2023 (d)</v>
      </c>
      <c r="D6" s="181" t="str">
        <f>ANIO3P</f>
        <v>2024 (d)</v>
      </c>
      <c r="E6" s="181" t="str">
        <f>ANIO4P</f>
        <v>2025 (d)</v>
      </c>
      <c r="F6" s="181" t="str">
        <f>ANIO5P</f>
        <v>2026 (d)</v>
      </c>
      <c r="G6" s="181" t="str">
        <f>ANIO6P</f>
        <v>2027 (d)</v>
      </c>
    </row>
    <row r="7" spans="1:7" customFormat="1" ht="48" customHeight="1" x14ac:dyDescent="0.25">
      <c r="A7" s="184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453</v>
      </c>
      <c r="B8" s="59">
        <f>SUM(B9:B17)</f>
        <v>0</v>
      </c>
      <c r="C8" s="59">
        <f t="shared" ref="C8:G8" si="0">SUM(C9:C17)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462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0</v>
      </c>
      <c r="C30" s="61">
        <f t="shared" ref="C30:G30" si="2">C8+C19</f>
        <v>0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 xr:uid="{00000000-0002-0000-1700-000000000000}"/>
    <dataValidation allowBlank="1" showInputMessage="1" showErrorMessage="1" prompt="Año 2 (d)" sqref="D6:D7" xr:uid="{00000000-0002-0000-1700-000001000000}"/>
    <dataValidation allowBlank="1" showInputMessage="1" showErrorMessage="1" prompt="Año 3 (d)" sqref="E6:E7" xr:uid="{00000000-0002-0000-1700-000002000000}"/>
    <dataValidation allowBlank="1" showInputMessage="1" showErrorMessage="1" prompt="Año 4 (d)" sqref="F6:F7" xr:uid="{00000000-0002-0000-1700-000003000000}"/>
    <dataValidation allowBlank="1" showInputMessage="1" showErrorMessage="1" prompt="Año 5 (d)" sqref="G6:G7" xr:uid="{00000000-0002-0000-1700-000004000000}"/>
    <dataValidation type="decimal" allowBlank="1" showInputMessage="1" showErrorMessage="1" sqref="B8:G30" xr:uid="{00000000-0002-0000-17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700-000006000000}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0</v>
      </c>
      <c r="Q2" s="18">
        <f>'Formato 7 b)'!C8</f>
        <v>0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0</v>
      </c>
      <c r="Q3" s="18">
        <f>'Formato 7 b)'!C9</f>
        <v>0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0</v>
      </c>
      <c r="Q4" s="18">
        <f>'Formato 7 b)'!C10</f>
        <v>0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0</v>
      </c>
      <c r="Q5" s="18">
        <f>'Formato 7 b)'!C11</f>
        <v>0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0</v>
      </c>
      <c r="Q22" s="18">
        <f>'Formato 7 b)'!C30</f>
        <v>0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2"/>
  <dimension ref="A1:G47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71" t="s">
        <v>466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León,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467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88" t="s">
        <v>3288</v>
      </c>
      <c r="B5" s="186" t="str">
        <f>ANIO5R</f>
        <v>2016 ¹ (c)</v>
      </c>
      <c r="C5" s="186" t="str">
        <f>ANIO4R</f>
        <v>2017 ¹ (c)</v>
      </c>
      <c r="D5" s="186" t="str">
        <f>ANIO3R</f>
        <v>2018 ¹ (c)</v>
      </c>
      <c r="E5" s="186" t="str">
        <f>ANIO2R</f>
        <v>2019 ¹ (c)</v>
      </c>
      <c r="F5" s="186" t="str">
        <f>ANIO1R</f>
        <v>2020 ¹ (c)</v>
      </c>
      <c r="G5" s="51">
        <f>ANIO_INFORME</f>
        <v>2021</v>
      </c>
    </row>
    <row r="6" spans="1:7" ht="32.1" customHeight="1" x14ac:dyDescent="0.25">
      <c r="A6" s="189"/>
      <c r="B6" s="187"/>
      <c r="C6" s="187"/>
      <c r="D6" s="187"/>
      <c r="E6" s="187"/>
      <c r="F6" s="187"/>
      <c r="G6" s="88" t="s">
        <v>3294</v>
      </c>
    </row>
    <row r="7" spans="1:7" x14ac:dyDescent="0.25">
      <c r="A7" s="52" t="s">
        <v>468</v>
      </c>
      <c r="B7" s="59">
        <f>SUM(B8:B19)</f>
        <v>0</v>
      </c>
      <c r="C7" s="59">
        <f t="shared" ref="C7:G7" si="0">SUM(C8:C19)</f>
        <v>0</v>
      </c>
      <c r="D7" s="59">
        <f t="shared" si="0"/>
        <v>27170765.4531</v>
      </c>
      <c r="E7" s="59">
        <f t="shared" si="0"/>
        <v>39731245.240000002</v>
      </c>
      <c r="F7" s="59">
        <f t="shared" si="0"/>
        <v>38665751.423524529</v>
      </c>
      <c r="G7" s="59">
        <f t="shared" si="0"/>
        <v>45208837.842592865</v>
      </c>
    </row>
    <row r="8" spans="1:7" x14ac:dyDescent="0.25">
      <c r="A8" s="53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6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3298</v>
      </c>
      <c r="B17" s="60">
        <v>0</v>
      </c>
      <c r="C17" s="60">
        <v>0</v>
      </c>
      <c r="D17" s="60">
        <v>27170765.4531</v>
      </c>
      <c r="E17" s="60">
        <v>39731245.240000002</v>
      </c>
      <c r="F17" s="60">
        <v>38665751.423524529</v>
      </c>
      <c r="G17" s="60">
        <v>45208837.842592865</v>
      </c>
    </row>
    <row r="18" spans="1:7" x14ac:dyDescent="0.25">
      <c r="A18" s="53" t="s">
        <v>478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479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0</v>
      </c>
      <c r="C31" s="61">
        <f t="shared" ref="C31:G31" si="3">C7+C21+C28</f>
        <v>0</v>
      </c>
      <c r="D31" s="61">
        <f t="shared" si="3"/>
        <v>27170765.4531</v>
      </c>
      <c r="E31" s="61">
        <f t="shared" si="3"/>
        <v>39731245.240000002</v>
      </c>
      <c r="F31" s="61">
        <f t="shared" si="3"/>
        <v>38665751.423524529</v>
      </c>
      <c r="G31" s="61">
        <f t="shared" si="3"/>
        <v>45208837.842592865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5" t="s">
        <v>3292</v>
      </c>
      <c r="B39" s="185"/>
      <c r="C39" s="185"/>
      <c r="D39" s="185"/>
      <c r="E39" s="185"/>
      <c r="F39" s="185"/>
      <c r="G39" s="185"/>
    </row>
    <row r="40" spans="1:7" ht="15" customHeight="1" x14ac:dyDescent="0.25">
      <c r="A40" s="185" t="s">
        <v>3293</v>
      </c>
      <c r="B40" s="185"/>
      <c r="C40" s="185"/>
      <c r="D40" s="185"/>
      <c r="E40" s="185"/>
      <c r="F40" s="185"/>
      <c r="G40" s="185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 xr:uid="{00000000-0002-0000-1900-000000000000}"/>
    <dataValidation allowBlank="1" showInputMessage="1" showErrorMessage="1" prompt="Año 2 (c)" sqref="E5:E6" xr:uid="{00000000-0002-0000-1900-000001000000}"/>
    <dataValidation allowBlank="1" showInputMessage="1" showErrorMessage="1" prompt="Año 3 (c)" sqref="D5:D6" xr:uid="{00000000-0002-0000-1900-000002000000}"/>
    <dataValidation allowBlank="1" showInputMessage="1" showErrorMessage="1" prompt="Año 4 (c)" sqref="C5:C6" xr:uid="{00000000-0002-0000-1900-000003000000}"/>
    <dataValidation allowBlank="1" showInputMessage="1" showErrorMessage="1" prompt="Año 5 (c)" sqref="B5:B6" xr:uid="{00000000-0002-0000-1900-000004000000}"/>
    <dataValidation type="decimal" allowBlank="1" showInputMessage="1" showErrorMessage="1" sqref="B7:G36" xr:uid="{00000000-0002-0000-1900-000005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900-000006000000}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27170765.4531</v>
      </c>
      <c r="S2" s="18">
        <f>'Formato 7 c)'!E7</f>
        <v>39731245.240000002</v>
      </c>
      <c r="T2" s="18">
        <f>'Formato 7 c)'!F7</f>
        <v>38665751.423524529</v>
      </c>
      <c r="U2" s="18">
        <f>'Formato 7 c)'!G7</f>
        <v>45208837.842592865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27170765.4531</v>
      </c>
      <c r="S12" s="18">
        <f>'Formato 7 c)'!E17</f>
        <v>39731245.240000002</v>
      </c>
      <c r="T12" s="18">
        <f>'Formato 7 c)'!F17</f>
        <v>38665751.423524529</v>
      </c>
      <c r="U12" s="18">
        <f>'Formato 7 c)'!G17</f>
        <v>45208837.842592865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27170765.4531</v>
      </c>
      <c r="S23" s="18">
        <f>'Formato 7 c)'!E31</f>
        <v>39731245.240000002</v>
      </c>
      <c r="T23" s="18">
        <f>'Formato 7 c)'!F31</f>
        <v>38665751.423524529</v>
      </c>
      <c r="U23" s="18">
        <f>'Formato 7 c)'!G31</f>
        <v>45208837.842592865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71" t="s">
        <v>490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León,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491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90" t="s">
        <v>3142</v>
      </c>
      <c r="B5" s="186" t="str">
        <f>ANIO5R</f>
        <v>2016 ¹ (c)</v>
      </c>
      <c r="C5" s="186" t="str">
        <f>ANIO4R</f>
        <v>2017 ¹ (c)</v>
      </c>
      <c r="D5" s="186" t="str">
        <f>ANIO3R</f>
        <v>2018 ¹ (c)</v>
      </c>
      <c r="E5" s="186" t="str">
        <f>ANIO2R</f>
        <v>2019 ¹ (c)</v>
      </c>
      <c r="F5" s="186" t="str">
        <f>ANIO1R</f>
        <v>2020 ¹ (c)</v>
      </c>
      <c r="G5" s="51">
        <f>ANIO_INFORME</f>
        <v>2021</v>
      </c>
    </row>
    <row r="6" spans="1:7" ht="32.1" customHeight="1" x14ac:dyDescent="0.25">
      <c r="A6" s="191"/>
      <c r="B6" s="187"/>
      <c r="C6" s="187"/>
      <c r="D6" s="187"/>
      <c r="E6" s="187"/>
      <c r="F6" s="187"/>
      <c r="G6" s="88" t="s">
        <v>3295</v>
      </c>
    </row>
    <row r="7" spans="1:7" ht="14.25" x14ac:dyDescent="0.45">
      <c r="A7" s="52" t="s">
        <v>492</v>
      </c>
      <c r="B7" s="59">
        <f>SUM(B8:B16)</f>
        <v>0</v>
      </c>
      <c r="C7" s="59">
        <f t="shared" ref="C7:G7" si="0">SUM(C8:C16)</f>
        <v>0</v>
      </c>
      <c r="D7" s="59">
        <f t="shared" si="0"/>
        <v>27170765.4531</v>
      </c>
      <c r="E7" s="59">
        <f t="shared" si="0"/>
        <v>38236942.903763905</v>
      </c>
      <c r="F7" s="59">
        <f t="shared" si="0"/>
        <v>38665751.423524529</v>
      </c>
      <c r="G7" s="59">
        <f t="shared" si="0"/>
        <v>45208837.842592865</v>
      </c>
    </row>
    <row r="8" spans="1:7" x14ac:dyDescent="0.25">
      <c r="A8" s="53" t="s">
        <v>454</v>
      </c>
      <c r="B8" s="60">
        <v>0</v>
      </c>
      <c r="C8" s="60">
        <v>0</v>
      </c>
      <c r="D8" s="60">
        <v>20849378.2031</v>
      </c>
      <c r="E8" s="60">
        <v>24086764.593763899</v>
      </c>
      <c r="F8" s="60">
        <v>26743676.003524531</v>
      </c>
      <c r="G8" s="60">
        <v>29968985.702592865</v>
      </c>
    </row>
    <row r="9" spans="1:7" x14ac:dyDescent="0.25">
      <c r="A9" s="53" t="s">
        <v>455</v>
      </c>
      <c r="B9" s="60">
        <v>0</v>
      </c>
      <c r="C9" s="60">
        <v>0</v>
      </c>
      <c r="D9" s="60">
        <v>910025</v>
      </c>
      <c r="E9" s="60">
        <v>1550111.51</v>
      </c>
      <c r="F9" s="60">
        <v>1740135.4100000001</v>
      </c>
      <c r="G9" s="60">
        <v>1421484.4300000002</v>
      </c>
    </row>
    <row r="10" spans="1:7" x14ac:dyDescent="0.25">
      <c r="A10" s="53" t="s">
        <v>456</v>
      </c>
      <c r="B10" s="60">
        <v>0</v>
      </c>
      <c r="C10" s="60">
        <v>0</v>
      </c>
      <c r="D10" s="60">
        <v>5250162.25</v>
      </c>
      <c r="E10" s="60">
        <v>7923328.7699999996</v>
      </c>
      <c r="F10" s="60">
        <v>7027890.0099999998</v>
      </c>
      <c r="G10" s="60">
        <v>11538082.710000001</v>
      </c>
    </row>
    <row r="11" spans="1:7" x14ac:dyDescent="0.25">
      <c r="A11" s="53" t="s">
        <v>457</v>
      </c>
      <c r="B11" s="60">
        <v>0</v>
      </c>
      <c r="C11" s="60">
        <v>0</v>
      </c>
      <c r="D11" s="60">
        <v>158000</v>
      </c>
      <c r="E11" s="60">
        <v>294000</v>
      </c>
      <c r="F11" s="60">
        <v>424050</v>
      </c>
      <c r="G11" s="60">
        <v>0</v>
      </c>
    </row>
    <row r="12" spans="1:7" x14ac:dyDescent="0.25">
      <c r="A12" s="53" t="s">
        <v>458</v>
      </c>
      <c r="B12" s="60">
        <v>0</v>
      </c>
      <c r="C12" s="60">
        <v>0</v>
      </c>
      <c r="D12" s="60">
        <v>3200</v>
      </c>
      <c r="E12" s="60">
        <v>4382738.03</v>
      </c>
      <c r="F12" s="60">
        <v>2730000</v>
      </c>
      <c r="G12" s="60">
        <v>2280285</v>
      </c>
    </row>
    <row r="13" spans="1:7" x14ac:dyDescent="0.25">
      <c r="A13" s="53" t="s">
        <v>459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456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0</v>
      </c>
      <c r="C29" s="60">
        <f t="shared" ref="C29:G29" si="2">C7+C18</f>
        <v>0</v>
      </c>
      <c r="D29" s="60">
        <f t="shared" si="2"/>
        <v>27170765.4531</v>
      </c>
      <c r="E29" s="60">
        <f t="shared" si="2"/>
        <v>38236942.903763905</v>
      </c>
      <c r="F29" s="60">
        <f t="shared" si="2"/>
        <v>38665751.423524529</v>
      </c>
      <c r="G29" s="60">
        <f t="shared" si="2"/>
        <v>45208837.842592865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5" t="s">
        <v>3292</v>
      </c>
      <c r="B32" s="185"/>
      <c r="C32" s="185"/>
      <c r="D32" s="185"/>
      <c r="E32" s="185"/>
      <c r="F32" s="185"/>
      <c r="G32" s="185"/>
    </row>
    <row r="33" spans="1:7" x14ac:dyDescent="0.25">
      <c r="A33" s="185" t="s">
        <v>3293</v>
      </c>
      <c r="B33" s="185"/>
      <c r="C33" s="185"/>
      <c r="D33" s="185"/>
      <c r="E33" s="185"/>
      <c r="F33" s="185"/>
      <c r="G33" s="185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 xr:uid="{00000000-0002-0000-1B00-000000000000}"/>
    <dataValidation allowBlank="1" showInputMessage="1" showErrorMessage="1" prompt="Año 2 (c)" sqref="E5:E6" xr:uid="{00000000-0002-0000-1B00-000001000000}"/>
    <dataValidation allowBlank="1" showInputMessage="1" showErrorMessage="1" prompt="Año 3 (c)" sqref="D5:D6" xr:uid="{00000000-0002-0000-1B00-000002000000}"/>
    <dataValidation allowBlank="1" showInputMessage="1" showErrorMessage="1" prompt="Año 4 (c)" sqref="C5:C6" xr:uid="{00000000-0002-0000-1B00-000003000000}"/>
    <dataValidation allowBlank="1" showInputMessage="1" showErrorMessage="1" prompt="Año 5 (c)" sqref="B5:B6" xr:uid="{00000000-0002-0000-1B00-000004000000}"/>
    <dataValidation type="decimal" allowBlank="1" showInputMessage="1" showErrorMessage="1" sqref="B7:G29" xr:uid="{00000000-0002-0000-1B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B00-000006000000}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27170765.4531</v>
      </c>
      <c r="S2" s="18">
        <f>'Formato 7 d)'!E7</f>
        <v>38236942.903763905</v>
      </c>
      <c r="T2" s="18">
        <f>'Formato 7 d)'!F7</f>
        <v>38665751.423524529</v>
      </c>
      <c r="U2" s="18">
        <f>'Formato 7 d)'!G7</f>
        <v>45208837.842592865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20849378.2031</v>
      </c>
      <c r="S3" s="18">
        <f>'Formato 7 d)'!E8</f>
        <v>24086764.593763899</v>
      </c>
      <c r="T3" s="18">
        <f>'Formato 7 d)'!F8</f>
        <v>26743676.003524531</v>
      </c>
      <c r="U3" s="18">
        <f>'Formato 7 d)'!G8</f>
        <v>29968985.702592865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910025</v>
      </c>
      <c r="S4" s="18">
        <f>'Formato 7 d)'!E9</f>
        <v>1550111.51</v>
      </c>
      <c r="T4" s="18">
        <f>'Formato 7 d)'!F9</f>
        <v>1740135.4100000001</v>
      </c>
      <c r="U4" s="18">
        <f>'Formato 7 d)'!G9</f>
        <v>1421484.4300000002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5250162.25</v>
      </c>
      <c r="S5" s="18">
        <f>'Formato 7 d)'!E10</f>
        <v>7923328.7699999996</v>
      </c>
      <c r="T5" s="18">
        <f>'Formato 7 d)'!F10</f>
        <v>7027890.0099999998</v>
      </c>
      <c r="U5" s="18">
        <f>'Formato 7 d)'!G10</f>
        <v>11538082.710000001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158000</v>
      </c>
      <c r="S6" s="18">
        <f>'Formato 7 d)'!E11</f>
        <v>294000</v>
      </c>
      <c r="T6" s="18">
        <f>'Formato 7 d)'!F11</f>
        <v>424050</v>
      </c>
      <c r="U6" s="18">
        <f>'Formato 7 d)'!G11</f>
        <v>0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3200</v>
      </c>
      <c r="S7" s="18">
        <f>'Formato 7 d)'!E12</f>
        <v>4382738.03</v>
      </c>
      <c r="T7" s="18">
        <f>'Formato 7 d)'!F12</f>
        <v>2730000</v>
      </c>
      <c r="U7" s="18">
        <f>'Formato 7 d)'!G12</f>
        <v>2280285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27170765.4531</v>
      </c>
      <c r="S22" s="18">
        <f>'Formato 7 d)'!E29</f>
        <v>38236942.903763905</v>
      </c>
      <c r="T22" s="18">
        <f>'Formato 7 d)'!F29</f>
        <v>38665751.423524529</v>
      </c>
      <c r="U22" s="18">
        <f>'Formato 7 d)'!G29</f>
        <v>45208837.842592865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14"/>
  <dimension ref="A1:XFC67"/>
  <sheetViews>
    <sheetView showGridLines="0" tabSelected="1" zoomScale="90" zoomScaleNormal="90" workbookViewId="0">
      <selection activeCell="C67" sqref="C67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65" t="s">
        <v>495</v>
      </c>
      <c r="B1" s="165"/>
      <c r="C1" s="165"/>
      <c r="D1" s="165"/>
      <c r="E1" s="165"/>
      <c r="F1" s="165"/>
      <c r="G1" s="111"/>
    </row>
    <row r="2" spans="1:7" ht="14.25" x14ac:dyDescent="0.45">
      <c r="A2" s="153" t="str">
        <f>ENTE_PUBLICO</f>
        <v>INSTITUTO MUNICIPAL DE LA JUVENTUD DE LEON GUANAJUATO, Gobierno del Estado de Guanajuato</v>
      </c>
      <c r="B2" s="154"/>
      <c r="C2" s="154"/>
      <c r="D2" s="154"/>
      <c r="E2" s="154"/>
      <c r="F2" s="155"/>
    </row>
    <row r="3" spans="1:7" ht="14.25" x14ac:dyDescent="0.45">
      <c r="A3" s="162" t="s">
        <v>496</v>
      </c>
      <c r="B3" s="163"/>
      <c r="C3" s="163"/>
      <c r="D3" s="163"/>
      <c r="E3" s="163"/>
      <c r="F3" s="164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ht="14.25" x14ac:dyDescent="0.45">
      <c r="A13" s="139" t="s">
        <v>509</v>
      </c>
      <c r="B13" s="60"/>
      <c r="C13" s="60"/>
      <c r="D13" s="60"/>
      <c r="E13" s="60"/>
      <c r="F13" s="60"/>
    </row>
    <row r="14" spans="1:7" ht="14.25" x14ac:dyDescent="0.4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ht="14.25" x14ac:dyDescent="0.45">
      <c r="A17" s="139" t="s">
        <v>509</v>
      </c>
      <c r="B17" s="60"/>
      <c r="C17" s="60"/>
      <c r="D17" s="60"/>
      <c r="E17" s="60"/>
      <c r="F17" s="60"/>
    </row>
    <row r="18" spans="1:6" ht="14.25" x14ac:dyDescent="0.4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ht="14.25" x14ac:dyDescent="0.45">
      <c r="A22" s="64" t="s">
        <v>515</v>
      </c>
      <c r="B22" s="146"/>
      <c r="C22" s="146"/>
      <c r="D22" s="146"/>
      <c r="E22" s="146"/>
      <c r="F22" s="146"/>
    </row>
    <row r="23" spans="1:6" x14ac:dyDescent="0.2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x14ac:dyDescent="0.25">
      <c r="A25" s="137" t="s">
        <v>518</v>
      </c>
      <c r="B25" s="147"/>
      <c r="C25" s="60"/>
      <c r="D25" s="60"/>
      <c r="E25" s="60"/>
      <c r="F25" s="60"/>
    </row>
    <row r="26" spans="1:6" x14ac:dyDescent="0.25">
      <c r="A26" s="138"/>
      <c r="B26" s="54"/>
      <c r="C26" s="54"/>
      <c r="D26" s="54"/>
      <c r="E26" s="54"/>
      <c r="F26" s="54"/>
    </row>
    <row r="27" spans="1:6" x14ac:dyDescent="0.25">
      <c r="A27" s="136" t="s">
        <v>519</v>
      </c>
      <c r="B27" s="54"/>
      <c r="C27" s="54"/>
      <c r="D27" s="54"/>
      <c r="E27" s="54"/>
      <c r="F27" s="54"/>
    </row>
    <row r="28" spans="1:6" x14ac:dyDescent="0.25">
      <c r="A28" s="137" t="s">
        <v>520</v>
      </c>
      <c r="B28" s="60"/>
      <c r="C28" s="60"/>
      <c r="D28" s="60"/>
      <c r="E28" s="60"/>
      <c r="F28" s="60"/>
    </row>
    <row r="29" spans="1:6" x14ac:dyDescent="0.2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 xr:uid="{00000000-0002-0000-1D00-000000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1D00-000001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D00-000002000000}">
      <formula1>1900</formula1>
      <formula2>2099</formula2>
    </dataValidation>
    <dataValidation type="whole" allowBlank="1" showInputMessage="1" showErrorMessage="1" prompt="Promedio de años de servicios de los trabajadores afiliados activos." sqref="B19:F19" xr:uid="{00000000-0002-0000-1D00-000003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D00-000004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1D00-000005000000}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 xr:uid="{00000000-0002-0000-1D00-000006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1D00-000007000000}">
      <formula1>0</formula1>
      <formula2>199</formula2>
    </dataValidation>
    <dataValidation type="whole" allowBlank="1" showInputMessage="1" showErrorMessage="1" prompt="El año en que el plan se encuentre en descapitalización." sqref="B61:F61" xr:uid="{00000000-0002-0000-1D00-000008000000}">
      <formula1>1900</formula1>
      <formula2>2099</formula2>
    </dataValidation>
    <dataValidation allowBlank="1" showInputMessage="1" showErrorMessage="1" prompt="La empresa o institución que elaboró el estudio actuarial más reciente." sqref="B66:F66" xr:uid="{00000000-0002-0000-1D00-000009000000}"/>
    <dataValidation allowBlank="1" showInputMessage="1" showErrorMessage="1" prompt="Definir si el tipo de sistema corresponde a una prestación laboral o es un fondo general para trabajadores del estado o municipio." sqref="B6:F6" xr:uid="{00000000-0002-0000-1D00-00000A000000}"/>
    <dataValidation allowBlank="1" showInputMessage="1" showErrorMessage="1" prompt="Definir si el tipo de sistema es un plan de beneficio definido, de contribución definida o mixto." sqref="B7:F7" xr:uid="{00000000-0002-0000-1D00-00000B000000}"/>
    <dataValidation type="whole" allowBlank="1" showInputMessage="1" showErrorMessage="1" sqref="B11:F13 B15:F17" xr:uid="{00000000-0002-0000-1D00-00000C000000}">
      <formula1>0</formula1>
      <formula2>199</formula2>
    </dataValidation>
    <dataValidation type="decimal" allowBlank="1" showInputMessage="1" showErrorMessage="1" sqref="B52:F54 B57:F58 B62:F62 B43:F45 B36:F38 B31:F33 B28:F28" xr:uid="{00000000-0002-0000-1D00-00000D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 xr:uid="{00000000-0002-0000-1D00-00000E000000}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 xr:uid="{00000000-0002-0000-1D00-00000F000000}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 xr:uid="{00000000-0002-0000-1D00-000010000000}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 xr:uid="{00000000-0002-0000-1D00-000011000000}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 xr:uid="{00000000-0002-0000-1D00-000012000000}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 xr:uid="{00000000-0002-0000-1D00-000013000000}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 xr:uid="{00000000-0002-0000-1D00-000014000000}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 xr:uid="{00000000-0002-0000-1D00-000015000000}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 xr:uid="{00000000-0002-0000-1D00-000016000000}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 xr:uid="{00000000-0002-0000-1D00-000017000000}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 xr:uid="{00000000-0002-0000-1D00-000018000000}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 xr:uid="{00000000-0002-0000-1D00-000019000000}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fitToPage="1"/>
  </sheetPr>
  <dimension ref="A1:F17283"/>
  <sheetViews>
    <sheetView showGridLines="0" zoomScale="90" zoomScaleNormal="90" workbookViewId="0">
      <selection activeCell="A3" sqref="A3:F3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65" t="s">
        <v>545</v>
      </c>
      <c r="B1" s="165"/>
      <c r="C1" s="165"/>
      <c r="D1" s="165"/>
      <c r="E1" s="165"/>
      <c r="F1" s="165"/>
    </row>
    <row r="2" spans="1:6" ht="14.25" x14ac:dyDescent="0.45">
      <c r="A2" s="153" t="str">
        <f>ENTE_PUBLICO_A</f>
        <v>INSTITUTO MUNICIPAL DE LA JUVENTUD DE LEON GUANAJUATO, Gobierno del Estado de Guanajuato (a)</v>
      </c>
      <c r="B2" s="154"/>
      <c r="C2" s="154"/>
      <c r="D2" s="154"/>
      <c r="E2" s="154"/>
      <c r="F2" s="155"/>
    </row>
    <row r="3" spans="1:6" x14ac:dyDescent="0.25">
      <c r="A3" s="156" t="s">
        <v>117</v>
      </c>
      <c r="B3" s="157"/>
      <c r="C3" s="157"/>
      <c r="D3" s="157"/>
      <c r="E3" s="157"/>
      <c r="F3" s="158"/>
    </row>
    <row r="4" spans="1:6" ht="14.25" x14ac:dyDescent="0.45">
      <c r="A4" s="159" t="str">
        <f>PERIODO_INFORME</f>
        <v>Al 31 de diciembre de 2020 y al 31 de diciembre de 2021 (b)</v>
      </c>
      <c r="B4" s="160"/>
      <c r="C4" s="160"/>
      <c r="D4" s="160"/>
      <c r="E4" s="160"/>
      <c r="F4" s="161"/>
    </row>
    <row r="5" spans="1:6" ht="14.25" x14ac:dyDescent="0.45">
      <c r="A5" s="162" t="s">
        <v>118</v>
      </c>
      <c r="B5" s="163"/>
      <c r="C5" s="163"/>
      <c r="D5" s="163"/>
      <c r="E5" s="163"/>
      <c r="F5" s="164"/>
    </row>
    <row r="6" spans="1:6" s="3" customFormat="1" ht="28.5" x14ac:dyDescent="0.45">
      <c r="A6" s="133" t="s">
        <v>3284</v>
      </c>
      <c r="B6" s="134" t="str">
        <f>ANIO</f>
        <v>2021 (d)</v>
      </c>
      <c r="C6" s="131" t="str">
        <f>ULTIMO</f>
        <v>31 de diciembre de 2020 (e)</v>
      </c>
      <c r="D6" s="135" t="s">
        <v>0</v>
      </c>
      <c r="E6" s="134" t="str">
        <f>ANIO</f>
        <v>2021 (d)</v>
      </c>
      <c r="F6" s="131" t="str">
        <f>ULTIMO</f>
        <v>31 de diciembre de 2020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x14ac:dyDescent="0.25">
      <c r="A9" s="95" t="s">
        <v>3</v>
      </c>
      <c r="B9" s="60">
        <f>SUM(B10:B16)</f>
        <v>5104964.47</v>
      </c>
      <c r="C9" s="60">
        <f>SUM(C10:C16)</f>
        <v>3893822.23</v>
      </c>
      <c r="D9" s="100" t="s">
        <v>54</v>
      </c>
      <c r="E9" s="60">
        <f>SUM(E10:E18)</f>
        <v>1221601.0699999998</v>
      </c>
      <c r="F9" s="60">
        <f>SUM(F10:F18)</f>
        <v>2018430.5</v>
      </c>
    </row>
    <row r="10" spans="1:6" x14ac:dyDescent="0.25">
      <c r="A10" s="96" t="s">
        <v>4</v>
      </c>
      <c r="B10" s="60">
        <v>0</v>
      </c>
      <c r="C10" s="60">
        <v>0</v>
      </c>
      <c r="D10" s="101" t="s">
        <v>55</v>
      </c>
      <c r="E10" s="60">
        <v>645911.06999999995</v>
      </c>
      <c r="F10" s="60">
        <v>567047.06999999995</v>
      </c>
    </row>
    <row r="11" spans="1:6" x14ac:dyDescent="0.25">
      <c r="A11" s="96" t="s">
        <v>5</v>
      </c>
      <c r="B11" s="60">
        <v>5104964.47</v>
      </c>
      <c r="C11" s="60">
        <v>3893822.23</v>
      </c>
      <c r="D11" s="101" t="s">
        <v>56</v>
      </c>
      <c r="E11" s="60">
        <v>64043</v>
      </c>
      <c r="F11" s="60">
        <v>619180.35</v>
      </c>
    </row>
    <row r="12" spans="1:6" x14ac:dyDescent="0.25">
      <c r="A12" s="96" t="s">
        <v>6</v>
      </c>
      <c r="B12" s="77">
        <v>0</v>
      </c>
      <c r="C12" s="60">
        <v>0</v>
      </c>
      <c r="D12" s="101" t="s">
        <v>57</v>
      </c>
      <c r="E12" s="60">
        <v>0</v>
      </c>
      <c r="F12" s="60">
        <v>0</v>
      </c>
    </row>
    <row r="13" spans="1:6" x14ac:dyDescent="0.25">
      <c r="A13" s="96" t="s">
        <v>7</v>
      </c>
      <c r="B13" s="60">
        <v>0</v>
      </c>
      <c r="C13" s="60">
        <v>0</v>
      </c>
      <c r="D13" s="101" t="s">
        <v>58</v>
      </c>
      <c r="E13" s="60">
        <v>0</v>
      </c>
      <c r="F13" s="60">
        <v>0</v>
      </c>
    </row>
    <row r="14" spans="1:6" x14ac:dyDescent="0.25">
      <c r="A14" s="96" t="s">
        <v>8</v>
      </c>
      <c r="B14" s="60">
        <v>0</v>
      </c>
      <c r="C14" s="60">
        <v>0</v>
      </c>
      <c r="D14" s="101" t="s">
        <v>59</v>
      </c>
      <c r="E14" s="60">
        <v>0</v>
      </c>
      <c r="F14" s="60">
        <v>0</v>
      </c>
    </row>
    <row r="15" spans="1:6" x14ac:dyDescent="0.25">
      <c r="A15" s="96" t="s">
        <v>9</v>
      </c>
      <c r="B15" s="60">
        <v>0</v>
      </c>
      <c r="C15" s="60">
        <v>0</v>
      </c>
      <c r="D15" s="101" t="s">
        <v>60</v>
      </c>
      <c r="E15" s="60">
        <v>0</v>
      </c>
      <c r="F15" s="60">
        <v>0</v>
      </c>
    </row>
    <row r="16" spans="1:6" x14ac:dyDescent="0.25">
      <c r="A16" s="96" t="s">
        <v>10</v>
      </c>
      <c r="B16" s="60">
        <v>0</v>
      </c>
      <c r="C16" s="60">
        <v>0</v>
      </c>
      <c r="D16" s="101" t="s">
        <v>61</v>
      </c>
      <c r="E16" s="60">
        <v>511647</v>
      </c>
      <c r="F16" s="60">
        <v>832203.08</v>
      </c>
    </row>
    <row r="17" spans="1:6" ht="14.25" x14ac:dyDescent="0.45">
      <c r="A17" s="95" t="s">
        <v>11</v>
      </c>
      <c r="B17" s="60">
        <f>SUM(B18:B24)</f>
        <v>10788.19</v>
      </c>
      <c r="C17" s="60">
        <f>SUM(C18:C24)</f>
        <v>21638.81</v>
      </c>
      <c r="D17" s="101" t="s">
        <v>62</v>
      </c>
      <c r="E17" s="60">
        <v>0</v>
      </c>
      <c r="F17" s="60">
        <v>0</v>
      </c>
    </row>
    <row r="18" spans="1:6" ht="14.25" x14ac:dyDescent="0.45">
      <c r="A18" s="97" t="s">
        <v>12</v>
      </c>
      <c r="B18" s="60">
        <v>0</v>
      </c>
      <c r="C18" s="60">
        <v>0</v>
      </c>
      <c r="D18" s="101" t="s">
        <v>63</v>
      </c>
      <c r="E18" s="60">
        <v>0</v>
      </c>
      <c r="F18" s="60">
        <v>0</v>
      </c>
    </row>
    <row r="19" spans="1:6" ht="14.25" x14ac:dyDescent="0.45">
      <c r="A19" s="97" t="s">
        <v>13</v>
      </c>
      <c r="B19" s="60">
        <v>0</v>
      </c>
      <c r="C19" s="60">
        <v>0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60">
        <v>10788.19</v>
      </c>
      <c r="C20" s="60">
        <v>21638.81</v>
      </c>
      <c r="D20" s="101" t="s">
        <v>65</v>
      </c>
      <c r="E20" s="60">
        <v>0</v>
      </c>
      <c r="F20" s="60">
        <v>0</v>
      </c>
    </row>
    <row r="21" spans="1:6" x14ac:dyDescent="0.25">
      <c r="A21" s="97" t="s">
        <v>15</v>
      </c>
      <c r="B21" s="60">
        <v>0</v>
      </c>
      <c r="C21" s="60">
        <v>0</v>
      </c>
      <c r="D21" s="101" t="s">
        <v>66</v>
      </c>
      <c r="E21" s="60">
        <v>0</v>
      </c>
      <c r="F21" s="60">
        <v>0</v>
      </c>
    </row>
    <row r="22" spans="1:6" x14ac:dyDescent="0.25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25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0</v>
      </c>
      <c r="C24" s="60">
        <v>0</v>
      </c>
      <c r="D24" s="101" t="s">
        <v>69</v>
      </c>
      <c r="E24" s="60">
        <v>0</v>
      </c>
      <c r="F24" s="60">
        <v>0</v>
      </c>
    </row>
    <row r="25" spans="1:6" x14ac:dyDescent="0.25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60">
        <v>0</v>
      </c>
      <c r="F25" s="60">
        <v>0</v>
      </c>
    </row>
    <row r="26" spans="1:6" x14ac:dyDescent="0.25">
      <c r="A26" s="97" t="s">
        <v>20</v>
      </c>
      <c r="B26" s="60">
        <v>0</v>
      </c>
      <c r="C26" s="60">
        <v>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0</v>
      </c>
      <c r="C28" s="60">
        <v>0</v>
      </c>
      <c r="D28" s="101" t="s">
        <v>73</v>
      </c>
      <c r="E28" s="60">
        <v>0</v>
      </c>
      <c r="F28" s="60">
        <v>0</v>
      </c>
    </row>
    <row r="29" spans="1:6" x14ac:dyDescent="0.25">
      <c r="A29" s="97" t="s">
        <v>23</v>
      </c>
      <c r="B29" s="60">
        <v>0</v>
      </c>
      <c r="C29" s="60">
        <v>0</v>
      </c>
      <c r="D29" s="101" t="s">
        <v>74</v>
      </c>
      <c r="E29" s="60">
        <v>0</v>
      </c>
      <c r="F29" s="60">
        <v>0</v>
      </c>
    </row>
    <row r="30" spans="1:6" x14ac:dyDescent="0.25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25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25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25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25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25">
      <c r="A37" s="95" t="s">
        <v>31</v>
      </c>
      <c r="B37" s="60">
        <v>0</v>
      </c>
      <c r="C37" s="60">
        <v>0</v>
      </c>
      <c r="D37" s="101" t="s">
        <v>82</v>
      </c>
      <c r="E37" s="60">
        <v>0</v>
      </c>
      <c r="F37" s="60">
        <v>0</v>
      </c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>
        <v>0</v>
      </c>
      <c r="C39" s="60">
        <v>0</v>
      </c>
      <c r="D39" s="101" t="s">
        <v>84</v>
      </c>
      <c r="E39" s="60">
        <v>0</v>
      </c>
      <c r="F39" s="60">
        <v>0</v>
      </c>
    </row>
    <row r="40" spans="1:6" x14ac:dyDescent="0.25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0</v>
      </c>
    </row>
    <row r="42" spans="1:6" x14ac:dyDescent="0.25">
      <c r="A42" s="97" t="s">
        <v>35</v>
      </c>
      <c r="B42" s="60">
        <v>0</v>
      </c>
      <c r="C42" s="60">
        <v>0</v>
      </c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25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25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</f>
        <v>5115752.66</v>
      </c>
      <c r="C47" s="61">
        <f>C9+C17+C25+C31+C38+C41</f>
        <v>3915461.04</v>
      </c>
      <c r="D47" s="99" t="s">
        <v>91</v>
      </c>
      <c r="E47" s="61">
        <f>E9+E19+E23+E26+E27+E31+E38+E42</f>
        <v>1221601.0699999998</v>
      </c>
      <c r="F47" s="61">
        <f>F9+F19+F23+F26+F27+F31+F38+F42</f>
        <v>2018430.5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>
        <v>0</v>
      </c>
      <c r="C50" s="60">
        <v>0</v>
      </c>
      <c r="D50" s="100" t="s">
        <v>93</v>
      </c>
      <c r="E50" s="60">
        <v>0</v>
      </c>
      <c r="F50" s="60">
        <v>0</v>
      </c>
    </row>
    <row r="51" spans="1:6" x14ac:dyDescent="0.25">
      <c r="A51" s="95" t="s">
        <v>42</v>
      </c>
      <c r="B51" s="60">
        <v>0</v>
      </c>
      <c r="C51" s="60">
        <v>0</v>
      </c>
      <c r="D51" s="100" t="s">
        <v>94</v>
      </c>
      <c r="E51" s="60">
        <v>0</v>
      </c>
      <c r="F51" s="60">
        <v>0</v>
      </c>
    </row>
    <row r="52" spans="1:6" x14ac:dyDescent="0.25">
      <c r="A52" s="95" t="s">
        <v>43</v>
      </c>
      <c r="B52" s="60">
        <v>0</v>
      </c>
      <c r="C52" s="60">
        <v>0</v>
      </c>
      <c r="D52" s="100" t="s">
        <v>95</v>
      </c>
      <c r="E52" s="60">
        <v>0</v>
      </c>
      <c r="F52" s="60">
        <v>0</v>
      </c>
    </row>
    <row r="53" spans="1:6" x14ac:dyDescent="0.25">
      <c r="A53" s="95" t="s">
        <v>44</v>
      </c>
      <c r="B53" s="60">
        <v>7441063.3300000001</v>
      </c>
      <c r="C53" s="60">
        <v>5888657.3499999996</v>
      </c>
      <c r="D53" s="100" t="s">
        <v>96</v>
      </c>
      <c r="E53" s="60">
        <v>0</v>
      </c>
      <c r="F53" s="60">
        <v>0</v>
      </c>
    </row>
    <row r="54" spans="1:6" x14ac:dyDescent="0.25">
      <c r="A54" s="95" t="s">
        <v>45</v>
      </c>
      <c r="B54" s="60">
        <v>2173248.59</v>
      </c>
      <c r="C54" s="60">
        <v>1562718.55</v>
      </c>
      <c r="D54" s="100" t="s">
        <v>97</v>
      </c>
      <c r="E54" s="60">
        <v>0</v>
      </c>
      <c r="F54" s="60">
        <v>0</v>
      </c>
    </row>
    <row r="55" spans="1:6" x14ac:dyDescent="0.25">
      <c r="A55" s="95" t="s">
        <v>46</v>
      </c>
      <c r="B55" s="60">
        <v>-4872785.29</v>
      </c>
      <c r="C55" s="60">
        <v>-2022294.28</v>
      </c>
      <c r="D55" s="37" t="s">
        <v>98</v>
      </c>
      <c r="E55" s="60">
        <v>0</v>
      </c>
      <c r="F55" s="60">
        <v>0</v>
      </c>
    </row>
    <row r="56" spans="1:6" x14ac:dyDescent="0.25">
      <c r="A56" s="95" t="s">
        <v>47</v>
      </c>
      <c r="B56" s="60">
        <v>0</v>
      </c>
      <c r="C56" s="60">
        <v>0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1221601.0699999998</v>
      </c>
      <c r="F59" s="61">
        <f>F47+F57</f>
        <v>2018430.5</v>
      </c>
    </row>
    <row r="60" spans="1:6" x14ac:dyDescent="0.25">
      <c r="A60" s="55" t="s">
        <v>50</v>
      </c>
      <c r="B60" s="61">
        <f>SUM(B50:B58)</f>
        <v>4741526.63</v>
      </c>
      <c r="C60" s="61">
        <f>SUM(C50:C58)</f>
        <v>5429081.6199999992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9857279.2899999991</v>
      </c>
      <c r="C62" s="61">
        <f>SUM(C47+C60)</f>
        <v>9344542.6600000001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0</v>
      </c>
      <c r="F63" s="77">
        <f>SUM(F64:F66)</f>
        <v>0</v>
      </c>
    </row>
    <row r="64" spans="1:6" x14ac:dyDescent="0.25">
      <c r="A64" s="54"/>
      <c r="B64" s="54"/>
      <c r="C64" s="54"/>
      <c r="D64" s="103" t="s">
        <v>103</v>
      </c>
      <c r="E64" s="77">
        <v>0</v>
      </c>
      <c r="F64" s="77">
        <v>0</v>
      </c>
    </row>
    <row r="65" spans="1:6" x14ac:dyDescent="0.25">
      <c r="A65" s="54"/>
      <c r="B65" s="54"/>
      <c r="C65" s="54"/>
      <c r="D65" s="41" t="s">
        <v>104</v>
      </c>
      <c r="E65" s="77">
        <v>0</v>
      </c>
      <c r="F65" s="77">
        <v>0</v>
      </c>
    </row>
    <row r="66" spans="1:6" x14ac:dyDescent="0.25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8635678.2200000007</v>
      </c>
      <c r="F68" s="77">
        <f>SUM(F69:F73)</f>
        <v>7326112.1600000001</v>
      </c>
    </row>
    <row r="69" spans="1:6" x14ac:dyDescent="0.25">
      <c r="A69" s="12"/>
      <c r="B69" s="54"/>
      <c r="C69" s="54"/>
      <c r="D69" s="103" t="s">
        <v>107</v>
      </c>
      <c r="E69" s="77">
        <v>2141885.23</v>
      </c>
      <c r="F69" s="77">
        <v>2148404.14</v>
      </c>
    </row>
    <row r="70" spans="1:6" x14ac:dyDescent="0.25">
      <c r="A70" s="12"/>
      <c r="B70" s="54"/>
      <c r="C70" s="54"/>
      <c r="D70" s="103" t="s">
        <v>108</v>
      </c>
      <c r="E70" s="77">
        <v>6493792.9900000002</v>
      </c>
      <c r="F70" s="77">
        <v>5177708.0199999996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77">
        <v>0</v>
      </c>
      <c r="F73" s="77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8635678.2200000007</v>
      </c>
      <c r="F79" s="61">
        <f>F63+F68+F75</f>
        <v>7326112.1600000001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9857279.290000001</v>
      </c>
      <c r="F81" s="61">
        <f>F59+F79</f>
        <v>9344542.6600000001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 xr:uid="{00000000-0002-0000-0300-000000000000}"/>
    <dataValidation allowBlank="1" showInputMessage="1" showErrorMessage="1" prompt="31 de diciembre de 20XN-1 (e)" sqref="C6 F6" xr:uid="{00000000-0002-0000-0300-000001000000}"/>
    <dataValidation type="decimal" allowBlank="1" showInputMessage="1" showErrorMessage="1" sqref="B9:C62 E9:F45 E47 F47 E50:F53 E54:F81" xr:uid="{00000000-0002-0000-0300-000002000000}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5104964.47</v>
      </c>
      <c r="Q4" s="18">
        <f>'Formato 1'!C9</f>
        <v>3893822.23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5104964.47</v>
      </c>
      <c r="Q6" s="18">
        <f>'Formato 1'!C11</f>
        <v>3893822.23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10788.19</v>
      </c>
      <c r="Q12" s="18">
        <f>'Formato 1'!C17</f>
        <v>21638.81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0</v>
      </c>
      <c r="Q14" s="18">
        <f>'Formato 1'!C19</f>
        <v>0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10788.19</v>
      </c>
      <c r="Q15" s="18">
        <f>'Formato 1'!C20</f>
        <v>21638.81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5115752.66</v>
      </c>
      <c r="Q42" s="18">
        <f>'Formato 1'!C47</f>
        <v>3915461.04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0</v>
      </c>
      <c r="Q46">
        <f>'Formato 1'!C52</f>
        <v>0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7441063.3300000001</v>
      </c>
      <c r="Q47">
        <f>'Formato 1'!C53</f>
        <v>5888657.3499999996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2173248.59</v>
      </c>
      <c r="Q48">
        <f>'Formato 1'!C54</f>
        <v>1562718.55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-4872785.29</v>
      </c>
      <c r="Q49">
        <f>'Formato 1'!C55</f>
        <v>-2022294.28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4741526.63</v>
      </c>
      <c r="Q53">
        <f>'Formato 1'!C60</f>
        <v>5429081.6199999992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9857279.2899999991</v>
      </c>
      <c r="Q54">
        <f>'Formato 1'!C62</f>
        <v>9344542.6600000001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1221601.0699999998</v>
      </c>
      <c r="Q57">
        <f>'Formato 1'!F9</f>
        <v>2018430.5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645911.06999999995</v>
      </c>
      <c r="Q58">
        <f>'Formato 1'!F10</f>
        <v>567047.06999999995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64043</v>
      </c>
      <c r="Q59">
        <f>'Formato 1'!F11</f>
        <v>619180.35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511647</v>
      </c>
      <c r="Q64">
        <f>'Formato 1'!F16</f>
        <v>832203.08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1221601.0699999998</v>
      </c>
      <c r="Q95">
        <f>'Formato 1'!F47</f>
        <v>2018430.5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1221601.0699999998</v>
      </c>
      <c r="Q104">
        <f>'Formato 1'!F59</f>
        <v>2018430.5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0</v>
      </c>
      <c r="Q106">
        <f>'Formato 1'!F63</f>
        <v>0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0</v>
      </c>
      <c r="Q107">
        <f>'Formato 1'!F64</f>
        <v>0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8635678.2200000007</v>
      </c>
      <c r="Q110">
        <f>'Formato 1'!F68</f>
        <v>7326112.1600000001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2141885.23</v>
      </c>
      <c r="Q111">
        <f>'Formato 1'!F69</f>
        <v>2148404.14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6493792.9900000002</v>
      </c>
      <c r="Q112">
        <f>'Formato 1'!F70</f>
        <v>5177708.0199999996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8635678.2200000007</v>
      </c>
      <c r="Q119">
        <f>'Formato 1'!F79</f>
        <v>7326112.1600000001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9857279.290000001</v>
      </c>
      <c r="Q120">
        <f>'Formato 1'!F81</f>
        <v>9344542.6600000001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1"/>
  <dimension ref="A1:I47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67" t="s">
        <v>544</v>
      </c>
      <c r="B1" s="167"/>
      <c r="C1" s="167"/>
      <c r="D1" s="167"/>
      <c r="E1" s="167"/>
      <c r="F1" s="167"/>
      <c r="G1" s="167"/>
      <c r="H1" s="167"/>
    </row>
    <row r="2" spans="1:9" ht="14.25" x14ac:dyDescent="0.45">
      <c r="A2" s="153" t="str">
        <f>ENTE_PUBLICO_A</f>
        <v>INSTITUTO MUNICIPAL DE LA JUVENTUD DE LEON GUANAJUATO, Gobierno del Estado de Guanajuato (a)</v>
      </c>
      <c r="B2" s="154"/>
      <c r="C2" s="154"/>
      <c r="D2" s="154"/>
      <c r="E2" s="154"/>
      <c r="F2" s="154"/>
      <c r="G2" s="154"/>
      <c r="H2" s="155"/>
    </row>
    <row r="3" spans="1:9" x14ac:dyDescent="0.25">
      <c r="A3" s="156" t="s">
        <v>120</v>
      </c>
      <c r="B3" s="157"/>
      <c r="C3" s="157"/>
      <c r="D3" s="157"/>
      <c r="E3" s="157"/>
      <c r="F3" s="157"/>
      <c r="G3" s="157"/>
      <c r="H3" s="158"/>
    </row>
    <row r="4" spans="1:9" ht="14.25" x14ac:dyDescent="0.45">
      <c r="A4" s="159" t="str">
        <f>PERIODO_INFORME</f>
        <v>Al 31 de diciembre de 2020 y al 31 de diciembre de 2021 (b)</v>
      </c>
      <c r="B4" s="160"/>
      <c r="C4" s="160"/>
      <c r="D4" s="160"/>
      <c r="E4" s="160"/>
      <c r="F4" s="160"/>
      <c r="G4" s="160"/>
      <c r="H4" s="161"/>
    </row>
    <row r="5" spans="1:9" ht="14.25" x14ac:dyDescent="0.45">
      <c r="A5" s="162" t="s">
        <v>118</v>
      </c>
      <c r="B5" s="163"/>
      <c r="C5" s="163"/>
      <c r="D5" s="163"/>
      <c r="E5" s="163"/>
      <c r="F5" s="163"/>
      <c r="G5" s="163"/>
      <c r="H5" s="164"/>
    </row>
    <row r="6" spans="1:9" ht="45" x14ac:dyDescent="0.25">
      <c r="A6" s="104" t="s">
        <v>121</v>
      </c>
      <c r="B6" s="105" t="str">
        <f>ULTIMO_SALDO</f>
        <v>Saldo al 31 de diciembre de 2020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8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ht="14.25" x14ac:dyDescent="0.45">
      <c r="A12" s="108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8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ht="14.25" x14ac:dyDescent="0.45">
      <c r="A16" s="108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61">
        <v>2018430.5</v>
      </c>
      <c r="C18" s="132"/>
      <c r="D18" s="132"/>
      <c r="E18" s="132"/>
      <c r="F18" s="61">
        <v>1221601.0699999998</v>
      </c>
      <c r="G18" s="132"/>
      <c r="H18" s="132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2018430.5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1221601.0699999998</v>
      </c>
      <c r="G20" s="61">
        <f t="shared" si="3"/>
        <v>0</v>
      </c>
      <c r="H20" s="61">
        <f t="shared" si="3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6" t="s">
        <v>3300</v>
      </c>
      <c r="B33" s="166"/>
      <c r="C33" s="166"/>
      <c r="D33" s="166"/>
      <c r="E33" s="166"/>
      <c r="F33" s="166"/>
      <c r="G33" s="166"/>
      <c r="H33" s="166"/>
    </row>
    <row r="34" spans="1:8" ht="12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2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2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2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9" t="s">
        <v>449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9" t="s">
        <v>450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00000000-0002-0000-0500-000000000000}"/>
    <dataValidation type="decimal" allowBlank="1" showInputMessage="1" showErrorMessage="1" sqref="B8:H30" xr:uid="{00000000-0002-0000-05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2018430.5</v>
      </c>
      <c r="Q12" s="18"/>
      <c r="R12" s="18"/>
      <c r="S12" s="18"/>
      <c r="T12" s="18">
        <f>'Formato 2'!F18</f>
        <v>1221601.0699999998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2018430.5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1221601.0699999998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1"/>
  <dimension ref="A1:L21"/>
  <sheetViews>
    <sheetView showGridLines="0" zoomScale="90" zoomScaleNormal="90" workbookViewId="0">
      <selection sqref="A1:K1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65" t="s">
        <v>543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11"/>
    </row>
    <row r="2" spans="1:12" ht="14.25" x14ac:dyDescent="0.45">
      <c r="A2" s="153" t="str">
        <f>ENTE_PUBLICO_A</f>
        <v>INSTITUTO MUNICIPAL DE LA JUVENTUD DE LEON GUANAJUATO, Gobierno del Estado de Guanajuato (a)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2" x14ac:dyDescent="0.25">
      <c r="A3" s="156" t="s">
        <v>146</v>
      </c>
      <c r="B3" s="157"/>
      <c r="C3" s="157"/>
      <c r="D3" s="157"/>
      <c r="E3" s="157"/>
      <c r="F3" s="157"/>
      <c r="G3" s="157"/>
      <c r="H3" s="157"/>
      <c r="I3" s="157"/>
      <c r="J3" s="157"/>
      <c r="K3" s="158"/>
    </row>
    <row r="4" spans="1:12" ht="14.25" x14ac:dyDescent="0.45">
      <c r="A4" s="159" t="str">
        <f>TRIMESTRE</f>
        <v>Del 1 de enero al 31 de diciembre de 2021 (b)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</row>
    <row r="5" spans="1:12" ht="14.25" x14ac:dyDescent="0.45">
      <c r="A5" s="156" t="s">
        <v>118</v>
      </c>
      <c r="B5" s="157"/>
      <c r="C5" s="157"/>
      <c r="D5" s="157"/>
      <c r="E5" s="157"/>
      <c r="F5" s="157"/>
      <c r="G5" s="157"/>
      <c r="H5" s="157"/>
      <c r="I5" s="157"/>
      <c r="J5" s="157"/>
      <c r="K5" s="158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31 de diciembre de 2021 (k)</v>
      </c>
      <c r="J6" s="131" t="str">
        <f>MONTO2</f>
        <v>Monto pagado de la inversión actualizado al 31 de diciembre de 2021 (l)</v>
      </c>
      <c r="K6" s="131" t="str">
        <f>SALDO_PENDIENTE</f>
        <v>Saldo pendiente por pagar de la inversión al 31 de diciembre de 2021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ht="14.25" x14ac:dyDescent="0.4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ht="14.25" x14ac:dyDescent="0.4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ht="14.25" x14ac:dyDescent="0.4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ht="14.25" x14ac:dyDescent="0.4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ht="14.25" x14ac:dyDescent="0.4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ht="14.25" x14ac:dyDescent="0.4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 xr:uid="{00000000-0002-0000-0700-000000000000}"/>
    <dataValidation allowBlank="1" showInputMessage="1" showErrorMessage="1" prompt="Monto pagado de la inversión actualizado al XX de XXXX de 20XN (k)" sqref="J6" xr:uid="{00000000-0002-0000-0700-000001000000}"/>
    <dataValidation allowBlank="1" showInputMessage="1" showErrorMessage="1" prompt="Saldo pendiente por pagar de la inversión al XX de XXXX de 20XN (m = g - l)" sqref="K6" xr:uid="{00000000-0002-0000-0700-000002000000}"/>
    <dataValidation type="decimal" allowBlank="1" showInputMessage="1" showErrorMessage="1" sqref="E8:K20" xr:uid="{00000000-0002-0000-0700-000003000000}">
      <formula1>-1.79769313486231E+100</formula1>
      <formula2>1.79769313486231E+100</formula2>
    </dataValidation>
    <dataValidation type="date" operator="greaterThanOrEqual" allowBlank="1" showInputMessage="1" showErrorMessage="1" sqref="B9:D12 B15:D18" xr:uid="{00000000-0002-0000-0700-000004000000}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Miguel</cp:lastModifiedBy>
  <cp:lastPrinted>2017-02-04T00:56:20Z</cp:lastPrinted>
  <dcterms:created xsi:type="dcterms:W3CDTF">2017-01-19T17:59:06Z</dcterms:created>
  <dcterms:modified xsi:type="dcterms:W3CDTF">2022-02-18T19:34:48Z</dcterms:modified>
</cp:coreProperties>
</file>